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michiganstate-my.sharepoint.com/personal/nlundeen_msu_edu/Documents/Data Requests/2022.09.12 Parity Data 2020, 2021, 2022 ytd/"/>
    </mc:Choice>
  </mc:AlternateContent>
  <xr:revisionPtr revIDLastSave="87" documentId="8_{81F8C3CF-C794-4ADE-98BD-59E613529497}" xr6:coauthVersionLast="47" xr6:coauthVersionMax="47" xr10:uidLastSave="{C99888EB-C49B-4843-909F-6B1FAEAAC1B5}"/>
  <bookViews>
    <workbookView xWindow="1040" yWindow="1020" windowWidth="28090" windowHeight="18070" xr2:uid="{00000000-000D-0000-FFFF-FFFF00000000}"/>
  </bookViews>
  <sheets>
    <sheet name="Work Team Report" sheetId="1" r:id="rId1"/>
    <sheet name="NPA 2019" sheetId="6" r:id="rId2"/>
    <sheet name="NPA 2020" sheetId="5" r:id="rId3"/>
    <sheet name="NPA 2021" sheetId="4" r:id="rId4"/>
    <sheet name="NPA 2022" sheetId="3" r:id="rId5"/>
    <sheet name="Work Teams" sheetId="2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 a="1"/>
  <c r="B30" i="1" s="1"/>
  <c r="B29" i="1" a="1"/>
  <c r="B29" i="1" s="1"/>
  <c r="B28" i="1" a="1"/>
  <c r="B28" i="1" s="1"/>
  <c r="B27" i="1" a="1"/>
  <c r="B27" i="1" s="1"/>
  <c r="B26" i="1" a="1"/>
  <c r="B26" i="1" s="1"/>
  <c r="B25" i="1" a="1"/>
  <c r="B25" i="1" s="1"/>
  <c r="B23" i="1" a="1"/>
  <c r="B23" i="1" s="1"/>
  <c r="B22" i="1" a="1"/>
  <c r="B22" i="1" s="1"/>
  <c r="B20" i="1" a="1"/>
  <c r="B20" i="1" s="1"/>
  <c r="B19" i="1" a="1"/>
  <c r="B19" i="1" s="1"/>
  <c r="B17" i="1" a="1"/>
  <c r="B17" i="1" s="1"/>
  <c r="B16" i="1" a="1"/>
  <c r="B16" i="1" s="1"/>
  <c r="B15" i="1" a="1"/>
  <c r="B15" i="1" s="1"/>
  <c r="B14" i="1" a="1"/>
  <c r="B14" i="1" s="1"/>
  <c r="B12" i="1" a="1"/>
  <c r="B12" i="1" s="1"/>
  <c r="B11" i="1" a="1"/>
  <c r="B11" i="1" s="1"/>
  <c r="B10" i="1" a="1"/>
  <c r="B10" i="1" s="1"/>
  <c r="B9" i="1" a="1"/>
  <c r="B9" i="1" s="1"/>
  <c r="B7" i="1" a="1"/>
  <c r="B7" i="1" s="1"/>
  <c r="C7" i="1" a="1"/>
  <c r="C7" i="1" s="1"/>
  <c r="E30" i="1" l="1" a="1"/>
  <c r="E30" i="1" s="1"/>
  <c r="E29" i="1" a="1"/>
  <c r="E29" i="1" s="1"/>
  <c r="E28" i="1" a="1"/>
  <c r="E28" i="1" s="1"/>
  <c r="E27" i="1" a="1"/>
  <c r="E27" i="1" s="1"/>
  <c r="E26" i="1" a="1"/>
  <c r="E26" i="1" s="1"/>
  <c r="E25" i="1" a="1"/>
  <c r="E25" i="1" s="1"/>
  <c r="E23" i="1" a="1"/>
  <c r="E23" i="1" s="1"/>
  <c r="E22" i="1" a="1"/>
  <c r="E22" i="1" s="1"/>
  <c r="E20" i="1" a="1"/>
  <c r="E20" i="1" s="1"/>
  <c r="E19" i="1" a="1"/>
  <c r="E19" i="1" s="1"/>
  <c r="E17" i="1" a="1"/>
  <c r="E17" i="1" s="1"/>
  <c r="E16" i="1" a="1"/>
  <c r="E16" i="1" s="1"/>
  <c r="E15" i="1" a="1"/>
  <c r="E15" i="1" s="1"/>
  <c r="E14" i="1" a="1"/>
  <c r="E14" i="1" s="1"/>
  <c r="E12" i="1" a="1"/>
  <c r="E12" i="1" s="1"/>
  <c r="E11" i="1" a="1"/>
  <c r="E11" i="1" s="1"/>
  <c r="E10" i="1" a="1"/>
  <c r="E10" i="1" s="1"/>
  <c r="E9" i="1" a="1"/>
  <c r="E9" i="1" s="1"/>
  <c r="E7" i="1" a="1"/>
  <c r="E7" i="1" s="1"/>
  <c r="D30" i="1" a="1"/>
  <c r="D30" i="1" s="1"/>
  <c r="D29" i="1" a="1"/>
  <c r="D29" i="1" s="1"/>
  <c r="D28" i="1" a="1"/>
  <c r="D28" i="1" s="1"/>
  <c r="D27" i="1" a="1"/>
  <c r="D27" i="1" s="1"/>
  <c r="D26" i="1" a="1"/>
  <c r="D26" i="1" s="1"/>
  <c r="D25" i="1" a="1"/>
  <c r="D25" i="1" s="1"/>
  <c r="D23" i="1" a="1"/>
  <c r="D23" i="1" s="1"/>
  <c r="D22" i="1" a="1"/>
  <c r="D22" i="1" s="1"/>
  <c r="D20" i="1" a="1"/>
  <c r="D20" i="1" s="1"/>
  <c r="D19" i="1" a="1"/>
  <c r="D19" i="1" s="1"/>
  <c r="D17" i="1" a="1"/>
  <c r="D17" i="1" s="1"/>
  <c r="D16" i="1" a="1"/>
  <c r="D16" i="1" s="1"/>
  <c r="D15" i="1" a="1"/>
  <c r="D15" i="1" s="1"/>
  <c r="D14" i="1" a="1"/>
  <c r="D14" i="1" s="1"/>
  <c r="D12" i="1" a="1"/>
  <c r="D12" i="1" s="1"/>
  <c r="D11" i="1" a="1"/>
  <c r="D11" i="1" s="1"/>
  <c r="D10" i="1" a="1"/>
  <c r="D10" i="1" s="1"/>
  <c r="D9" i="1" a="1"/>
  <c r="D9" i="1" s="1"/>
  <c r="D7" i="1" a="1"/>
  <c r="D7" i="1" s="1"/>
  <c r="C30" i="1" a="1"/>
  <c r="C30" i="1" s="1"/>
  <c r="C29" i="1" a="1"/>
  <c r="C29" i="1" s="1"/>
  <c r="C28" i="1" a="1"/>
  <c r="C28" i="1" s="1"/>
  <c r="C27" i="1" a="1"/>
  <c r="C27" i="1" s="1"/>
  <c r="C26" i="1" a="1"/>
  <c r="C26" i="1" s="1"/>
  <c r="C25" i="1" a="1"/>
  <c r="C25" i="1" s="1"/>
  <c r="C23" i="1" a="1"/>
  <c r="C23" i="1" s="1"/>
  <c r="C22" i="1" a="1"/>
  <c r="C22" i="1" s="1"/>
  <c r="C20" i="1" a="1"/>
  <c r="C20" i="1" s="1"/>
  <c r="C19" i="1" a="1"/>
  <c r="C19" i="1" s="1"/>
  <c r="C17" i="1" a="1"/>
  <c r="C17" i="1" s="1"/>
  <c r="C16" i="1" a="1"/>
  <c r="C16" i="1" s="1"/>
  <c r="C15" i="1" a="1"/>
  <c r="C15" i="1" s="1"/>
  <c r="C14" i="1" a="1"/>
  <c r="C14" i="1" s="1"/>
  <c r="C12" i="1" a="1"/>
  <c r="C12" i="1" s="1"/>
  <c r="C11" i="1" a="1"/>
  <c r="C11" i="1" s="1"/>
  <c r="C10" i="1" a="1"/>
  <c r="C10" i="1" s="1"/>
  <c r="C9" i="1" a="1"/>
  <c r="C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<sst xmlns="http://schemas.openxmlformats.org/spreadsheetml/2006/main" count="255" uniqueCount="101">
  <si>
    <t>Select a Work Team Below:</t>
  </si>
  <si>
    <t>Work Teams</t>
  </si>
  <si>
    <t>Total Participants</t>
  </si>
  <si>
    <t>Gender Unknown % All</t>
  </si>
  <si>
    <t>Age Unknown % All</t>
  </si>
  <si>
    <t>Ethnicity Unknown % All</t>
  </si>
  <si>
    <t>Race Unknown % All</t>
  </si>
  <si>
    <t>Work team</t>
  </si>
  <si>
    <t>Unknown Demographics For All Categories</t>
  </si>
  <si>
    <t>participants_gender_male</t>
  </si>
  <si>
    <t>participants_gender_female</t>
  </si>
  <si>
    <t>participants_gender_prefer_not_to_respond</t>
  </si>
  <si>
    <t>participants_gender_unknown</t>
  </si>
  <si>
    <t>Gender Unknown (with unknown overall)</t>
  </si>
  <si>
    <t>participants_age_youth</t>
  </si>
  <si>
    <t>participants_age_adult</t>
  </si>
  <si>
    <t>participants_age_prefer_not_to_respond</t>
  </si>
  <si>
    <t>participants_age_unknown</t>
  </si>
  <si>
    <t>Age Unknown (with unknown overall)</t>
  </si>
  <si>
    <t>participants_ethnicity_hispanic</t>
  </si>
  <si>
    <t>participants_ethnicity_non_hispanic</t>
  </si>
  <si>
    <t>participants_ethnicity_prefer_not_to_respond</t>
  </si>
  <si>
    <t>participants_ethnicity_unknown</t>
  </si>
  <si>
    <t>Ethnicity Unknown (with unknown overall)</t>
  </si>
  <si>
    <t>participants_race_amerind</t>
  </si>
  <si>
    <t>participants_race_asian</t>
  </si>
  <si>
    <t>participants_race_black</t>
  </si>
  <si>
    <t>participants_race_hawpac</t>
  </si>
  <si>
    <t>participants_race_white</t>
  </si>
  <si>
    <t>participants_race_two_or_more</t>
  </si>
  <si>
    <t>participants_race_prefer_not_to_respond</t>
  </si>
  <si>
    <t>participants_race_unknown</t>
  </si>
  <si>
    <t>Race Unknown (with unknown overall)</t>
  </si>
  <si>
    <t>Male Percentage of known gender</t>
  </si>
  <si>
    <t>Percentag Female</t>
  </si>
  <si>
    <t>Percentage Youth of known age</t>
  </si>
  <si>
    <t>Percentage Adult of known Age</t>
  </si>
  <si>
    <t>Percentage Hispanic of known ethnicity</t>
  </si>
  <si>
    <t>Percentage non-hispanic of known ethnicity</t>
  </si>
  <si>
    <t>Percentage American Indian of known race</t>
  </si>
  <si>
    <t>Percentage Asian of known race</t>
  </si>
  <si>
    <t>Percentage Black of known race</t>
  </si>
  <si>
    <t>Percentage Hawaiian of known race</t>
  </si>
  <si>
    <t>Percentage White of known race</t>
  </si>
  <si>
    <t>Percentage Two or More Races of known race</t>
  </si>
  <si>
    <t>How was this value calculated?</t>
  </si>
  <si>
    <t>Gender Unknown / Total Participants</t>
  </si>
  <si>
    <t>Age Unknown / Total Participants</t>
  </si>
  <si>
    <t>Ethnicity Unknown / Total Participants</t>
  </si>
  <si>
    <t>Race Unknown / Total Participants</t>
  </si>
  <si>
    <t>Gender: Prefer not to respond - % of Total Participants</t>
  </si>
  <si>
    <t>Gender: Unknown - % of Total Participants</t>
  </si>
  <si>
    <t>Age: Unknown - % of Total Participants</t>
  </si>
  <si>
    <t>Ethnicity: Unknown - % of Total Participants</t>
  </si>
  <si>
    <t>Race: Unknown - % of Total Participants</t>
  </si>
  <si>
    <t>Age: Prefer not to respond - % of Total Participants</t>
  </si>
  <si>
    <t>Ethnicity: Prefer not to respond - % of Total Participants</t>
  </si>
  <si>
    <t>Race: Prefer not to respond - % of Total Participants</t>
  </si>
  <si>
    <t>Gender: Prefer not to respond % All</t>
  </si>
  <si>
    <t>Age: Prefer not to respond % All2</t>
  </si>
  <si>
    <t>Ethnicity: Prefer not to respond % All</t>
  </si>
  <si>
    <t>Race: Prefer not to respond % All</t>
  </si>
  <si>
    <t>Gender: Male - % of known gender</t>
  </si>
  <si>
    <t>Gender: Prefer not to respond / Total Participants</t>
  </si>
  <si>
    <t>Age: Prefer not to respond / Total Participants</t>
  </si>
  <si>
    <t>Ethnicity: Prefer not to respond / Total Participants</t>
  </si>
  <si>
    <t>Race: Prefer not to respond / Total Participants</t>
  </si>
  <si>
    <t>Gender: Male / (Gender: Male + Gender: Female)</t>
  </si>
  <si>
    <t>Gender: Female - % of known gender</t>
  </si>
  <si>
    <t>Gender: Female / (Gender: Male + Gender: Female)</t>
  </si>
  <si>
    <t>Ethnicity: Hispanic/Latino - % of known ethnicity</t>
  </si>
  <si>
    <t>Ethnicity: Not Hispanic/Latino - % of known ethnicity</t>
  </si>
  <si>
    <t>Ethnicity: Hispanic Latino / (Ethnicity: Hispanic Latino + Ethnicity: Not Hispanic Latino)</t>
  </si>
  <si>
    <t>Ethnicity: Not Hispanic Latino / (Ethnicity: Hispanic Latino + Ethnicity: Not Hispanic Latino)</t>
  </si>
  <si>
    <t>Race: Asian - % of known race</t>
  </si>
  <si>
    <t>Race: Black - % of known race</t>
  </si>
  <si>
    <t>Race: Hawaiian or Pacific Islander - % of known race</t>
  </si>
  <si>
    <t>Race: White - % of known race</t>
  </si>
  <si>
    <t>Race: Two or More Races - % of known race</t>
  </si>
  <si>
    <t>Race: American Indian or Alaskan Native - % of known race</t>
  </si>
  <si>
    <t>Race: American Indian or Alaskan Native / (Race: American Indian or Alaskan Native + Race: Asian + Race: Black + Race: Hawaiian or Pacific Islander + Race: White + Race: Two or More Races)</t>
  </si>
  <si>
    <t>Race: Asian / (Race: American Indian or Alaskan Native + Race: Asian + Race: Black + Race: Hawaiian or Pacific Islander + Race: White + Race: Two or More Races)</t>
  </si>
  <si>
    <t>Race: Black / (Race: American Indian or Alaskan Native + Race: Asian + Race: Black + Race: Hawaiian or Pacific Islander + Race: White + Race: Two or More Races)</t>
  </si>
  <si>
    <t>Race: Hawaiian or Pacific Islander / (Race: American Indian or Alaskan Native + Race: Asian + Race: Black + Race: Hawaiian or Pacific Islander + Race: White + Race: Two or More Races)</t>
  </si>
  <si>
    <t>Race: White / (Race: American Indian or Alaskan Native + Race: Asian + Race: Black + Race: Hawaiian or Pacific Islander + Race: White + Race: Two or More Races)</t>
  </si>
  <si>
    <t>Race: Two or More Races / (Race: American Indian or Alaskan Native + Race: Asian + Race: Black + Race: Hawaiian or Pacific Islander + Race: White + Race: Two or More Races)</t>
  </si>
  <si>
    <t>Unknown</t>
  </si>
  <si>
    <t>Prefer not to respond</t>
  </si>
  <si>
    <t>Gender</t>
  </si>
  <si>
    <t>Ethnicity</t>
  </si>
  <si>
    <t>Race</t>
  </si>
  <si>
    <t>The data below comes from demographics as reported on Program Activities in PEARS. 2022 data is YTD as of 09/12/2022.</t>
  </si>
  <si>
    <t>SNAP-Ed</t>
  </si>
  <si>
    <t>SNAP-Ed 2019</t>
  </si>
  <si>
    <t>SNAP-Ed 2020</t>
  </si>
  <si>
    <t>SNAP-Ed 2021</t>
  </si>
  <si>
    <t>SNAP-Ed 2022</t>
  </si>
  <si>
    <t>HNI - NPA - Team Nutrition</t>
  </si>
  <si>
    <t>HNI - NPA - United Dairy Industry of Michigan</t>
  </si>
  <si>
    <t>HNI - NPA - EFNEP</t>
  </si>
  <si>
    <t>HNI - Nutrition and Physical Activity (probably not SNAP-Ed/EFNEP)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</si>
</sst>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right"/>
    </xf>
    <xf numFmtId="9" fontId="0" fillId="0" borderId="0" xfId="1" applyFont="1"/>
    <xf numFmtId="0" fontId="0" fillId="0" borderId="0" xfId="0" applyAlignment="1">
      <alignment wrapText="1"/>
    </xf>
    <xf numFmtId="9" fontId="0" fillId="0" borderId="0" xfId="1" applyFont="1" applyAlignment="1">
      <alignment wrapText="1"/>
    </xf>
    <xf numFmtId="0" fontId="0" fillId="5" borderId="0" xfId="0" applyFill="1" applyAlignment="1">
      <alignment horizontal="right"/>
    </xf>
    <xf numFmtId="0" fontId="2" fillId="5" borderId="0" xfId="0" applyFont="1" applyFill="1"/>
    <xf numFmtId="0" fontId="0" fillId="5" borderId="0" xfId="0" applyFill="1"/>
    <xf numFmtId="0" fontId="2" fillId="2" borderId="9" xfId="0" applyFon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0" fontId="0" fillId="0" borderId="0" xfId="0" applyAlignment="1">
      <alignment vertical="center"/>
    </xf>
    <xf numFmtId="0" fontId="0" fillId="7" borderId="1" xfId="0" applyFill="1" applyBorder="1" applyAlignment="1">
      <alignment horizontal="right" vertical="center"/>
    </xf>
    <xf numFmtId="0" fontId="0" fillId="7" borderId="4" xfId="0" applyFill="1" applyBorder="1" applyAlignment="1">
      <alignment horizontal="right" vertical="center"/>
    </xf>
    <xf numFmtId="0" fontId="0" fillId="7" borderId="6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0" fontId="0" fillId="6" borderId="6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6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9" fontId="0" fillId="7" borderId="2" xfId="1" applyFont="1" applyFill="1" applyBorder="1" applyAlignment="1">
      <alignment horizontal="right" vertical="center"/>
    </xf>
    <xf numFmtId="9" fontId="0" fillId="7" borderId="3" xfId="1" applyFont="1" applyFill="1" applyBorder="1" applyAlignment="1">
      <alignment horizontal="right" vertical="center"/>
    </xf>
    <xf numFmtId="9" fontId="0" fillId="7" borderId="0" xfId="1" applyFont="1" applyFill="1" applyBorder="1" applyAlignment="1">
      <alignment horizontal="right" vertical="center"/>
    </xf>
    <xf numFmtId="9" fontId="0" fillId="7" borderId="5" xfId="1" applyFont="1" applyFill="1" applyBorder="1" applyAlignment="1">
      <alignment horizontal="right" vertical="center"/>
    </xf>
    <xf numFmtId="9" fontId="0" fillId="7" borderId="7" xfId="1" applyFont="1" applyFill="1" applyBorder="1" applyAlignment="1">
      <alignment horizontal="right" vertical="center"/>
    </xf>
    <xf numFmtId="9" fontId="0" fillId="7" borderId="8" xfId="1" applyFont="1" applyFill="1" applyBorder="1" applyAlignment="1">
      <alignment horizontal="right" vertical="center"/>
    </xf>
    <xf numFmtId="9" fontId="0" fillId="3" borderId="2" xfId="1" applyFont="1" applyFill="1" applyBorder="1" applyAlignment="1">
      <alignment horizontal="right" vertical="center"/>
    </xf>
    <xf numFmtId="9" fontId="0" fillId="3" borderId="3" xfId="1" applyFont="1" applyFill="1" applyBorder="1" applyAlignment="1">
      <alignment horizontal="right" vertical="center"/>
    </xf>
    <xf numFmtId="9" fontId="0" fillId="3" borderId="0" xfId="1" applyFont="1" applyFill="1" applyBorder="1" applyAlignment="1">
      <alignment horizontal="right" vertical="center"/>
    </xf>
    <xf numFmtId="9" fontId="0" fillId="3" borderId="5" xfId="1" applyFont="1" applyFill="1" applyBorder="1" applyAlignment="1">
      <alignment horizontal="right" vertical="center"/>
    </xf>
    <xf numFmtId="9" fontId="0" fillId="3" borderId="7" xfId="1" applyFont="1" applyFill="1" applyBorder="1" applyAlignment="1">
      <alignment horizontal="right" vertical="center"/>
    </xf>
    <xf numFmtId="9" fontId="0" fillId="3" borderId="8" xfId="1" applyFont="1" applyFill="1" applyBorder="1" applyAlignment="1">
      <alignment horizontal="right" vertical="center"/>
    </xf>
    <xf numFmtId="9" fontId="0" fillId="6" borderId="2" xfId="1" applyFont="1" applyFill="1" applyBorder="1" applyAlignment="1">
      <alignment horizontal="right" vertical="center"/>
    </xf>
    <xf numFmtId="9" fontId="0" fillId="6" borderId="3" xfId="1" applyFont="1" applyFill="1" applyBorder="1" applyAlignment="1">
      <alignment horizontal="right" vertical="center"/>
    </xf>
    <xf numFmtId="9" fontId="0" fillId="6" borderId="7" xfId="1" applyFont="1" applyFill="1" applyBorder="1" applyAlignment="1">
      <alignment horizontal="right" vertical="center"/>
    </xf>
    <xf numFmtId="9" fontId="0" fillId="6" borderId="8" xfId="1" applyFont="1" applyFill="1" applyBorder="1" applyAlignment="1">
      <alignment horizontal="right" vertical="center"/>
    </xf>
    <xf numFmtId="9" fontId="0" fillId="2" borderId="2" xfId="1" applyFont="1" applyFill="1" applyBorder="1" applyAlignment="1">
      <alignment horizontal="right" vertical="center"/>
    </xf>
    <xf numFmtId="9" fontId="0" fillId="2" borderId="3" xfId="1" applyFont="1" applyFill="1" applyBorder="1" applyAlignment="1">
      <alignment horizontal="right" vertical="center"/>
    </xf>
    <xf numFmtId="9" fontId="0" fillId="2" borderId="7" xfId="1" applyFont="1" applyFill="1" applyBorder="1" applyAlignment="1">
      <alignment horizontal="right" vertical="center"/>
    </xf>
    <xf numFmtId="9" fontId="0" fillId="2" borderId="8" xfId="1" applyFont="1" applyFill="1" applyBorder="1" applyAlignment="1">
      <alignment horizontal="right" vertical="center"/>
    </xf>
    <xf numFmtId="9" fontId="0" fillId="4" borderId="2" xfId="1" applyFont="1" applyFill="1" applyBorder="1" applyAlignment="1">
      <alignment horizontal="right" vertical="center"/>
    </xf>
    <xf numFmtId="9" fontId="0" fillId="4" borderId="3" xfId="1" applyFont="1" applyFill="1" applyBorder="1" applyAlignment="1">
      <alignment horizontal="right" vertical="center"/>
    </xf>
    <xf numFmtId="9" fontId="0" fillId="4" borderId="0" xfId="1" applyFont="1" applyFill="1" applyBorder="1" applyAlignment="1">
      <alignment horizontal="right" vertical="center"/>
    </xf>
    <xf numFmtId="9" fontId="0" fillId="4" borderId="5" xfId="1" applyFont="1" applyFill="1" applyBorder="1" applyAlignment="1">
      <alignment horizontal="right" vertical="center"/>
    </xf>
    <xf numFmtId="9" fontId="0" fillId="4" borderId="7" xfId="1" applyFont="1" applyFill="1" applyBorder="1" applyAlignment="1">
      <alignment horizontal="right" vertical="center"/>
    </xf>
    <xf numFmtId="9" fontId="0" fillId="4" borderId="8" xfId="1" applyFont="1" applyFill="1" applyBorder="1" applyAlignment="1">
      <alignment horizontal="right" vertical="center"/>
    </xf>
    <xf numFmtId="0" fontId="2" fillId="5" borderId="0" xfId="0" applyFont="1" applyFill="1" applyAlignment="1">
      <alignment horizontal="right" wrapText="1"/>
    </xf>
    <xf numFmtId="0" fontId="3" fillId="5" borderId="0" xfId="0" applyFont="1" applyFill="1"/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8" borderId="9" xfId="0" applyFont="1" applyFill="1" applyBorder="1" applyAlignment="1" applyProtection="1">
      <alignment horizontal="center"/>
      <protection locked="0"/>
    </xf>
    <xf numFmtId="0" fontId="2" fillId="8" borderId="10" xfId="0" applyFont="1" applyFill="1" applyBorder="1" applyAlignment="1" applyProtection="1">
      <alignment horizontal="center"/>
      <protection locked="0"/>
    </xf>
    <xf numFmtId="0" fontId="2" fillId="8" borderId="11" xfId="0" applyFont="1" applyFill="1" applyBorder="1" applyAlignment="1" applyProtection="1">
      <alignment horizontal="center"/>
      <protection locked="0"/>
    </xf>
    <xf numFmtId="0" fontId="2" fillId="7" borderId="9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8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8B66AD-9195-4C09-8FAA-DCB2367E1D04}" name="Extension2019" displayName="Extension2019" ref="A1:AU2" totalsRowShown="0" headerRowDxfId="87" dataDxfId="86" headerRowCellStyle="Percent" dataCellStyle="Percent">
  <autoFilter ref="A1:AU2" xr:uid="{53CFBA5F-7D46-4383-993F-60C61E3E9638}"/>
  <tableColumns count="47">
    <tableColumn id="1" xr3:uid="{0C419F58-ABCC-4653-A533-5B79C8BEF40F}" name="Work team"/>
    <tableColumn id="2" xr3:uid="{CD15D557-7492-42DA-A884-55AA95B7EC3F}" name="Total Participants"/>
    <tableColumn id="3" xr3:uid="{1FDC346A-6933-42DF-ABA5-751DF776660F}" name="Unknown Demographics For All Categories"/>
    <tableColumn id="4" xr3:uid="{ADEE2773-6438-4762-ADEE-5F778BE096A3}" name="participants_gender_male"/>
    <tableColumn id="5" xr3:uid="{1F27BA81-9AE5-44FA-86B6-C656EAFE1F4D}" name="participants_gender_female"/>
    <tableColumn id="6" xr3:uid="{6CB41082-6AC2-41A2-8991-9F653C31EF0D}" name="participants_gender_prefer_not_to_respond"/>
    <tableColumn id="7" xr3:uid="{93336EBC-120A-46AE-B5D9-7A196AE26D21}" name="participants_gender_unknown"/>
    <tableColumn id="8" xr3:uid="{E883BFE3-D5A8-47F0-AFC2-8B07039688C3}" name="Gender Unknown (with unknown overall)"/>
    <tableColumn id="9" xr3:uid="{507E90EB-6940-4282-B309-55362C0FEEF5}" name="participants_age_youth"/>
    <tableColumn id="10" xr3:uid="{44B4C57D-F257-487A-A28D-559F1FB9AE20}" name="participants_age_adult"/>
    <tableColumn id="11" xr3:uid="{22D2162E-FA67-455F-B40F-EEC1822FCE58}" name="participants_age_prefer_not_to_respond"/>
    <tableColumn id="12" xr3:uid="{114F6407-7948-44CD-AE45-B9E78C0A36B5}" name="participants_age_unknown"/>
    <tableColumn id="13" xr3:uid="{32E487A4-0D63-4745-B1EE-ACB3DC038B42}" name="Age Unknown (with unknown overall)"/>
    <tableColumn id="14" xr3:uid="{A24C1923-13C7-4271-A3C5-238626D435B6}" name="participants_ethnicity_hispanic"/>
    <tableColumn id="15" xr3:uid="{7868B444-2A69-46C9-951A-D850642155FC}" name="participants_ethnicity_non_hispanic"/>
    <tableColumn id="16" xr3:uid="{7DE7E2CC-FE6A-4FA4-96C1-0D1C47A4B3EE}" name="participants_ethnicity_prefer_not_to_respond"/>
    <tableColumn id="17" xr3:uid="{DC0271EE-B958-4D66-B645-3D6641DE1E1D}" name="participants_ethnicity_unknown"/>
    <tableColumn id="18" xr3:uid="{85F79752-34A1-4B20-BDA7-0487C1C14924}" name="Ethnicity Unknown (with unknown overall)"/>
    <tableColumn id="19" xr3:uid="{D5F8F711-2909-4374-B1E8-F4A5BFE581EE}" name="participants_race_amerind"/>
    <tableColumn id="20" xr3:uid="{A313698E-C786-4406-8D46-CCB6A2AAC992}" name="participants_race_asian"/>
    <tableColumn id="21" xr3:uid="{017FCE9C-DAF3-4ADD-99A1-62E92283DB97}" name="participants_race_black"/>
    <tableColumn id="22" xr3:uid="{86B3BA08-A22A-41F4-9859-C3D62A7F5B68}" name="participants_race_hawpac"/>
    <tableColumn id="23" xr3:uid="{6A097C9B-2A27-4782-9B30-28716BF575B1}" name="participants_race_white"/>
    <tableColumn id="24" xr3:uid="{9DDB23D1-8E45-4778-ABDA-C4A056F8F6AC}" name="participants_race_two_or_more"/>
    <tableColumn id="25" xr3:uid="{C47F7659-99F7-4895-A483-39539E9DF42A}" name="participants_race_prefer_not_to_respond"/>
    <tableColumn id="26" xr3:uid="{F009D765-4C3E-413C-B114-FEADA8ABC1A2}" name="participants_race_unknown"/>
    <tableColumn id="27" xr3:uid="{A998B6F5-CC6E-4F07-94AA-16F1CD61753D}" name="Race Unknown (with unknown overall)"/>
    <tableColumn id="28" xr3:uid="{D27351FB-E22C-432B-9DF5-CC1377D96492}" name="Gender Unknown % All" dataDxfId="85" dataCellStyle="Percent"/>
    <tableColumn id="29" xr3:uid="{4857C414-3AC7-4EC1-A01E-05B1D5A9CC7D}" name="Age Unknown % All" dataDxfId="84" dataCellStyle="Percent"/>
    <tableColumn id="30" xr3:uid="{8741E137-BE08-4958-B29B-44E60DC95005}" name="Ethnicity Unknown % All" dataDxfId="83" dataCellStyle="Percent"/>
    <tableColumn id="31" xr3:uid="{B4A73182-D325-4904-A626-9965D7BDAF34}" name="Race Unknown % All" dataDxfId="82" dataCellStyle="Percent"/>
    <tableColumn id="32" xr3:uid="{47296767-6FCF-4B72-8D66-B3261364FAC2}" name="Gender: Prefer not to respond % All" dataDxfId="81" dataCellStyle="Percent"/>
    <tableColumn id="33" xr3:uid="{ECECD28A-0A84-4A6D-B29C-B19A91F7ECFF}" name="Age: Prefer not to respond % All2" dataDxfId="80" dataCellStyle="Percent"/>
    <tableColumn id="34" xr3:uid="{CC57E7FB-470F-4445-A36D-E38705BB030B}" name="Ethnicity: Prefer not to respond % All" dataDxfId="79" dataCellStyle="Percent"/>
    <tableColumn id="35" xr3:uid="{C01FB130-4F51-4563-BBD2-02D3023384FF}" name="Race: Prefer not to respond % All" dataDxfId="78" dataCellStyle="Percent"/>
    <tableColumn id="36" xr3:uid="{604CBFA7-A7F1-4EC0-8D68-3B71BFD2D324}" name="Male Percentage of known gender" dataDxfId="77" dataCellStyle="Percent"/>
    <tableColumn id="37" xr3:uid="{7C1DBA56-09DA-4EFA-B1A3-8F8C11EF6AB4}" name="Percentag Female" dataDxfId="76" dataCellStyle="Percent"/>
    <tableColumn id="38" xr3:uid="{4A14EBB5-8096-423C-A771-E5158E6BFE6C}" name="Percentage Youth of known age" dataDxfId="75" dataCellStyle="Percent"/>
    <tableColumn id="39" xr3:uid="{4839112F-6311-49D6-B51F-FF200D6A1C9F}" name="Percentage Adult of known Age" dataDxfId="74" dataCellStyle="Percent"/>
    <tableColumn id="40" xr3:uid="{74E3144E-F38C-4511-B4B4-FEC5A37BE2DE}" name="Percentage Hispanic of known ethnicity" dataDxfId="73" dataCellStyle="Percent"/>
    <tableColumn id="41" xr3:uid="{BA8BB137-D8A2-43C2-B50F-A8372323E9BA}" name="Percentage non-hispanic of known ethnicity" dataDxfId="72" dataCellStyle="Percent"/>
    <tableColumn id="42" xr3:uid="{D8A059CB-7AA3-481F-8BAC-69B249CAD710}" name="Percentage American Indian of known race" dataDxfId="71" dataCellStyle="Percent"/>
    <tableColumn id="43" xr3:uid="{B78DA41B-ABFD-4774-90C0-30CDA8AF7E4F}" name="Percentage Asian of known race" dataDxfId="70" dataCellStyle="Percent"/>
    <tableColumn id="44" xr3:uid="{A6BE2ADD-8259-4270-8FE9-B2575B7FC2B8}" name="Percentage Black of known race" dataDxfId="69" dataCellStyle="Percent"/>
    <tableColumn id="45" xr3:uid="{09B250B3-8928-481B-9B7E-132145A5B265}" name="Percentage Hawaiian of known race" dataDxfId="68" dataCellStyle="Percent"/>
    <tableColumn id="46" xr3:uid="{C18ACAEB-06B6-44A7-83A3-BF7D9FF00CEB}" name="Percentage White of known race" dataDxfId="67" dataCellStyle="Percent"/>
    <tableColumn id="47" xr3:uid="{85C69A09-52DB-4307-91F5-3A9909F33002}" name="Percentage Two or More Races of known race" dataDxfId="66" dataCellStyle="Percent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3CFBA5F-7D46-4383-993F-60C61E3E9638}" name="Extension2020" displayName="Extension2020" ref="A1:AU4" totalsRowShown="0" headerRowDxfId="65" dataDxfId="64" headerRowCellStyle="Percent" dataCellStyle="Percent">
  <autoFilter ref="A1:AU4" xr:uid="{53CFBA5F-7D46-4383-993F-60C61E3E9638}"/>
  <tableColumns count="47">
    <tableColumn id="1" xr3:uid="{F4569A45-AC68-4C7D-A6FE-2496D7A0C6DD}" name="Work team"/>
    <tableColumn id="2" xr3:uid="{35E89A83-BE60-4638-89BB-D1E47F829D10}" name="Total Participants"/>
    <tableColumn id="3" xr3:uid="{265EC318-C3DC-4068-98F1-E85333F527A4}" name="Unknown Demographics For All Categories"/>
    <tableColumn id="4" xr3:uid="{B7C9A6C6-DBA9-4111-B1BF-83E0CEF5A357}" name="participants_gender_male"/>
    <tableColumn id="5" xr3:uid="{015F5F19-C309-43CE-8A3A-207E233446FD}" name="participants_gender_female"/>
    <tableColumn id="6" xr3:uid="{42333312-C9E0-4F80-88AB-54403D604FDA}" name="participants_gender_prefer_not_to_respond"/>
    <tableColumn id="7" xr3:uid="{2F1FB91C-D538-489D-B2A3-754DFAC43976}" name="participants_gender_unknown"/>
    <tableColumn id="8" xr3:uid="{1EAD0704-9A92-4C50-BC38-0C5B6E133A34}" name="Gender Unknown (with unknown overall)"/>
    <tableColumn id="9" xr3:uid="{3A5D22E9-CEBD-4C2C-A82E-5B304CCC9A25}" name="participants_age_youth"/>
    <tableColumn id="10" xr3:uid="{A49DD30F-CC8B-4445-BDFC-A7B064C83BA6}" name="participants_age_adult"/>
    <tableColumn id="11" xr3:uid="{E3BBABA2-1EAB-4A9A-BA7B-09C98D342DAF}" name="participants_age_prefer_not_to_respond"/>
    <tableColumn id="12" xr3:uid="{D7F7844B-8D56-4204-8C74-6FC4C7871B85}" name="participants_age_unknown"/>
    <tableColumn id="13" xr3:uid="{892A0D41-22C0-40DD-9DD9-6C06B2B07B43}" name="Age Unknown (with unknown overall)"/>
    <tableColumn id="14" xr3:uid="{246538AF-98A6-4B2B-A0A4-1D67D4C5EEFD}" name="participants_ethnicity_hispanic"/>
    <tableColumn id="15" xr3:uid="{4BDDA3B3-B457-4034-B0B8-9F80032B662D}" name="participants_ethnicity_non_hispanic"/>
    <tableColumn id="16" xr3:uid="{74DBE531-7645-44BC-AD4A-89402BFD45BC}" name="participants_ethnicity_prefer_not_to_respond"/>
    <tableColumn id="17" xr3:uid="{BCFFEED1-FC20-4895-B7DC-C3210C6FC131}" name="participants_ethnicity_unknown"/>
    <tableColumn id="18" xr3:uid="{361F6F0E-800C-4219-A4AB-789CFE4F09E7}" name="Ethnicity Unknown (with unknown overall)"/>
    <tableColumn id="19" xr3:uid="{8205D3CC-9332-4503-A64C-C93E8E0F29FA}" name="participants_race_amerind"/>
    <tableColumn id="20" xr3:uid="{50B8B9DA-38BA-4282-AE64-57A5B3B40FC3}" name="participants_race_asian"/>
    <tableColumn id="21" xr3:uid="{A42EB231-3982-4CB2-85C9-CEC74B192D67}" name="participants_race_black"/>
    <tableColumn id="22" xr3:uid="{E348A5D7-63B3-4F39-89A1-52672E8146ED}" name="participants_race_hawpac"/>
    <tableColumn id="23" xr3:uid="{C112E6EE-1E7F-431F-B9F1-F89DBDD37B41}" name="participants_race_white"/>
    <tableColumn id="24" xr3:uid="{0B57232B-375F-4695-A676-830C4BFB42F2}" name="participants_race_two_or_more"/>
    <tableColumn id="25" xr3:uid="{5B3970EA-0A83-454A-84B1-9C3B334E9B82}" name="participants_race_prefer_not_to_respond"/>
    <tableColumn id="26" xr3:uid="{DB72A6B0-FE5E-42A1-B48A-780981E20292}" name="participants_race_unknown"/>
    <tableColumn id="27" xr3:uid="{C893870E-2CCA-48CA-9C36-4C53632EAB04}" name="Race Unknown (with unknown overall)"/>
    <tableColumn id="28" xr3:uid="{0DA0B65F-731A-4A26-9E84-BA1692BC074E}" name="Gender Unknown % All" dataDxfId="63" dataCellStyle="Percent"/>
    <tableColumn id="29" xr3:uid="{C5572ACA-59C9-4936-85B9-F97EF328010D}" name="Age Unknown % All" dataDxfId="62" dataCellStyle="Percent"/>
    <tableColumn id="30" xr3:uid="{743639C8-A09B-4C59-8AB7-D7016FA79C0B}" name="Ethnicity Unknown % All" dataDxfId="61" dataCellStyle="Percent"/>
    <tableColumn id="31" xr3:uid="{5327AAF7-CFF4-49A0-8822-9A678128D123}" name="Race Unknown % All" dataDxfId="60" dataCellStyle="Percent"/>
    <tableColumn id="32" xr3:uid="{1F1A7AED-F9FF-4C9E-955A-0F55B7C57ED7}" name="Gender: Prefer not to respond % All" dataDxfId="59" dataCellStyle="Percent"/>
    <tableColumn id="33" xr3:uid="{413AFCF3-C62A-42F6-9B1C-B4326942A113}" name="Age: Prefer not to respond % All2" dataDxfId="58" dataCellStyle="Percent"/>
    <tableColumn id="34" xr3:uid="{F019647F-79A5-4A17-8A0B-53E8AAF20CDA}" name="Ethnicity: Prefer not to respond % All" dataDxfId="57" dataCellStyle="Percent"/>
    <tableColumn id="35" xr3:uid="{3060815B-D5D1-47CB-BB4E-59444D088030}" name="Race: Prefer not to respond % All" dataDxfId="56" dataCellStyle="Percent"/>
    <tableColumn id="36" xr3:uid="{6D5FB3E6-0653-42BD-A96F-650A05139DCA}" name="Male Percentage of known gender" dataDxfId="55" dataCellStyle="Percent"/>
    <tableColumn id="37" xr3:uid="{3C6C2CCB-0B60-4D73-8239-809C53BB3054}" name="Percentag Female" dataDxfId="54" dataCellStyle="Percent"/>
    <tableColumn id="38" xr3:uid="{B3CD6E78-A5CA-4D0D-B043-D9855FD31C95}" name="Percentage Youth of known age" dataDxfId="53" dataCellStyle="Percent"/>
    <tableColumn id="39" xr3:uid="{BB184361-F456-4ECB-B8A7-950884FEECA1}" name="Percentage Adult of known Age" dataDxfId="52" dataCellStyle="Percent"/>
    <tableColumn id="40" xr3:uid="{13350D28-E467-4D56-B76F-890159A225F7}" name="Percentage Hispanic of known ethnicity" dataDxfId="51" dataCellStyle="Percent"/>
    <tableColumn id="41" xr3:uid="{041ADFD7-192B-4C68-B983-5134E13E5DA8}" name="Percentage non-hispanic of known ethnicity" dataDxfId="50" dataCellStyle="Percent"/>
    <tableColumn id="42" xr3:uid="{23E55ECF-FE6C-409F-8F33-EE65D4676A88}" name="Percentage American Indian of known race" dataDxfId="49" dataCellStyle="Percent"/>
    <tableColumn id="43" xr3:uid="{C1F1BEC6-022D-48CA-858B-26520FEB2E53}" name="Percentage Asian of known race" dataDxfId="48" dataCellStyle="Percent"/>
    <tableColumn id="44" xr3:uid="{7228F940-3250-4025-AD9B-24D734A08005}" name="Percentage Black of known race" dataDxfId="47" dataCellStyle="Percent"/>
    <tableColumn id="45" xr3:uid="{25894C10-5FDF-45F6-A106-008FC7468DFA}" name="Percentage Hawaiian of known race" dataDxfId="46" dataCellStyle="Percent"/>
    <tableColumn id="46" xr3:uid="{6DCA35A2-9770-44BD-9D1B-9731EE0E905E}" name="Percentage White of known race" dataDxfId="45" dataCellStyle="Percent"/>
    <tableColumn id="47" xr3:uid="{4BD3051C-0CA7-4F91-8958-17120513C0C6}" name="Percentage Two or More Races of known race" dataDxfId="44" dataCellStyle="Percen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16A84B1-C0BF-4AEE-A8A0-5044AE91F341}" name="Extension2021" displayName="Extension2021" ref="A1:AU5" totalsRowShown="0" headerRowDxfId="43" dataDxfId="42" headerRowCellStyle="Percent" dataCellStyle="Percent">
  <autoFilter ref="A1:AU5" xr:uid="{D16A84B1-C0BF-4AEE-A8A0-5044AE91F341}"/>
  <tableColumns count="47">
    <tableColumn id="1" xr3:uid="{BC291D8B-5215-4F78-9468-246DD0DED62E}" name="Work team"/>
    <tableColumn id="2" xr3:uid="{1CAD3E65-AF29-4C75-B896-E411ABF7128E}" name="Total Participants"/>
    <tableColumn id="3" xr3:uid="{D2B1D87E-4D2E-4403-9799-27BCEC268167}" name="Unknown Demographics For All Categories"/>
    <tableColumn id="4" xr3:uid="{69C04141-F639-49F2-9806-27F30FB72DA0}" name="participants_gender_male"/>
    <tableColumn id="5" xr3:uid="{76F2475A-8574-4210-B97E-C03DD5603ADC}" name="participants_gender_female"/>
    <tableColumn id="6" xr3:uid="{46B75222-F378-4B40-B077-C986731FE980}" name="participants_gender_prefer_not_to_respond"/>
    <tableColumn id="7" xr3:uid="{2AC8C8B6-2660-4A9C-BD16-BE4D9ED2A073}" name="participants_gender_unknown"/>
    <tableColumn id="8" xr3:uid="{3CECC66E-725F-44B2-80E2-01F745181B1D}" name="Gender Unknown (with unknown overall)"/>
    <tableColumn id="9" xr3:uid="{31C2D39C-29D1-4963-A882-A1B1650A032E}" name="participants_age_youth"/>
    <tableColumn id="10" xr3:uid="{88387E82-2A0D-45D7-AA7E-D56C570D60EF}" name="participants_age_adult"/>
    <tableColumn id="11" xr3:uid="{38A9C73F-68A8-4910-9A21-DFE741027072}" name="participants_age_prefer_not_to_respond"/>
    <tableColumn id="12" xr3:uid="{E41FCC74-FD4D-4869-8666-34BA114F9A0E}" name="participants_age_unknown"/>
    <tableColumn id="13" xr3:uid="{1AEADC9F-3899-4B62-A1E9-C2FF4C0FB70B}" name="Age Unknown (with unknown overall)"/>
    <tableColumn id="14" xr3:uid="{31039731-9D7C-482A-8451-20652F8340FF}" name="participants_ethnicity_hispanic"/>
    <tableColumn id="15" xr3:uid="{CC6D5AA9-2B1E-4EE3-ACC4-6625420F4D83}" name="participants_ethnicity_non_hispanic"/>
    <tableColumn id="16" xr3:uid="{1C70364C-A373-44B6-BA03-17578E424DF2}" name="participants_ethnicity_prefer_not_to_respond"/>
    <tableColumn id="17" xr3:uid="{F80447F6-47CA-4BA6-9636-DBE92B3C0922}" name="participants_ethnicity_unknown"/>
    <tableColumn id="18" xr3:uid="{6D959D15-8C23-4395-8AE2-D658E5A031C2}" name="Ethnicity Unknown (with unknown overall)"/>
    <tableColumn id="19" xr3:uid="{3044BA9A-1DE5-4774-8FEC-BC03A564BFE2}" name="participants_race_amerind"/>
    <tableColumn id="20" xr3:uid="{C929D40F-DE7C-4EDB-A533-A9AA3602E1D2}" name="participants_race_asian"/>
    <tableColumn id="21" xr3:uid="{1965F731-349C-4E5C-9B2D-8E7E60DDE773}" name="participants_race_black"/>
    <tableColumn id="22" xr3:uid="{93F3E789-504E-43BF-84FD-8649F218DFD0}" name="participants_race_hawpac"/>
    <tableColumn id="23" xr3:uid="{99B29422-2304-4FBF-B272-B3DF1017D411}" name="participants_race_white"/>
    <tableColumn id="24" xr3:uid="{B2443D4A-1A87-4914-BA19-65AA8F7E54F6}" name="participants_race_two_or_more"/>
    <tableColumn id="25" xr3:uid="{D5B83622-146F-4AE0-9101-79B03EC792BD}" name="participants_race_prefer_not_to_respond"/>
    <tableColumn id="26" xr3:uid="{CE1E319D-5429-4DAA-9399-A1F792FD5CD1}" name="participants_race_unknown"/>
    <tableColumn id="27" xr3:uid="{510CB11E-DB54-42FF-A79B-2F530235D89E}" name="Race Unknown (with unknown overall)"/>
    <tableColumn id="28" xr3:uid="{765DFEA2-D281-4CDB-A4A4-9E65E598A2F9}" name="Gender Unknown % All" dataDxfId="41" dataCellStyle="Percent"/>
    <tableColumn id="29" xr3:uid="{CAF009C0-BE54-4A04-9DFB-E41D9B1AF8DD}" name="Age Unknown % All" dataDxfId="40" dataCellStyle="Percent"/>
    <tableColumn id="30" xr3:uid="{F6AC8E91-75FE-442C-B762-D165CB16312A}" name="Ethnicity Unknown % All" dataDxfId="39" dataCellStyle="Percent"/>
    <tableColumn id="31" xr3:uid="{AD4E34C7-8E10-4AB3-85B8-8934AAAD479B}" name="Race Unknown % All" dataDxfId="38" dataCellStyle="Percent"/>
    <tableColumn id="32" xr3:uid="{FB7FFFEB-E9B5-417E-8726-A4C028560F72}" name="Gender: Prefer not to respond % All" dataDxfId="37" dataCellStyle="Percent"/>
    <tableColumn id="33" xr3:uid="{3FBDFBBA-BFF7-4E62-B8AB-8B90BA908304}" name="Age: Prefer not to respond % All2" dataDxfId="36" dataCellStyle="Percent"/>
    <tableColumn id="34" xr3:uid="{005246DB-D98B-45A0-8352-A3AD7AE9BD64}" name="Ethnicity: Prefer not to respond % All" dataDxfId="35" dataCellStyle="Percent"/>
    <tableColumn id="35" xr3:uid="{B17EF394-813C-4088-806F-04AA67D234B5}" name="Race: Prefer not to respond % All" dataDxfId="34" dataCellStyle="Percent"/>
    <tableColumn id="36" xr3:uid="{6E2AE0EA-9720-41E3-895D-AC66DD068F5F}" name="Male Percentage of known gender" dataDxfId="33" dataCellStyle="Percent"/>
    <tableColumn id="37" xr3:uid="{754086D7-09DE-4BC0-8A9B-F2310CD7E4C1}" name="Percentag Female" dataDxfId="32" dataCellStyle="Percent"/>
    <tableColumn id="38" xr3:uid="{01431BE3-A9FC-490C-9084-A4128EBDE148}" name="Percentage Youth of known age" dataDxfId="31" dataCellStyle="Percent"/>
    <tableColumn id="39" xr3:uid="{C35BDEAD-04F6-438A-872C-5B73672C3B4E}" name="Percentage Adult of known Age" dataDxfId="30" dataCellStyle="Percent"/>
    <tableColumn id="40" xr3:uid="{7E02B97B-1D11-43D8-A217-5F536B5BE9BA}" name="Percentage Hispanic of known ethnicity" dataDxfId="29" dataCellStyle="Percent"/>
    <tableColumn id="41" xr3:uid="{400887FA-9351-4DDA-B931-A642427F2EDE}" name="Percentage non-hispanic of known ethnicity" dataDxfId="28" dataCellStyle="Percent"/>
    <tableColumn id="42" xr3:uid="{313AA1FB-271B-4A70-A500-5D2E10372E24}" name="Percentage American Indian of known race" dataDxfId="27" dataCellStyle="Percent"/>
    <tableColumn id="43" xr3:uid="{1F7616D8-8354-447D-A76D-0F0EDD122DF3}" name="Percentage Asian of known race" dataDxfId="26" dataCellStyle="Percent"/>
    <tableColumn id="44" xr3:uid="{B3BA624E-9693-4113-B8C0-38D32F7860F1}" name="Percentage Black of known race" dataDxfId="25" dataCellStyle="Percent"/>
    <tableColumn id="45" xr3:uid="{5E8179A1-F131-40A0-86D8-E259A0618C20}" name="Percentage Hawaiian of known race" dataDxfId="24" dataCellStyle="Percent"/>
    <tableColumn id="46" xr3:uid="{C983AC58-D34A-47EB-A22F-E7B5AEC442FD}" name="Percentage White of known race" dataDxfId="23" dataCellStyle="Percent"/>
    <tableColumn id="47" xr3:uid="{F963CF30-4921-4953-9E3F-E0D29F615766}" name="Percentage Two or More Races of known race" dataDxfId="22" dataCellStyle="Percent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2155150-A639-4F12-B08F-30EBAA98B394}" name="Extension2022" displayName="Extension2022" ref="A1:AU5" totalsRowShown="0" headerRowDxfId="21" dataDxfId="20" headerRowCellStyle="Percent" dataCellStyle="Percent">
  <autoFilter ref="A1:AU5" xr:uid="{72155150-A639-4F12-B08F-30EBAA98B394}"/>
  <tableColumns count="47">
    <tableColumn id="1" xr3:uid="{01534E9B-C88C-4E26-AF87-1DBD4DC7FB74}" name="Work team"/>
    <tableColumn id="2" xr3:uid="{9E9C54A4-F715-42F3-A0EC-929DA9A20F24}" name="Total Participants"/>
    <tableColumn id="3" xr3:uid="{EF1D7E8E-E34E-4C6B-8788-C3E8C3CBAD4E}" name="Unknown Demographics For All Categories"/>
    <tableColumn id="4" xr3:uid="{330066EA-A82B-4DAC-8051-E665B3BFA539}" name="participants_gender_male"/>
    <tableColumn id="5" xr3:uid="{F9AEB81D-358E-40CA-AD71-7F209CB3F610}" name="participants_gender_female"/>
    <tableColumn id="6" xr3:uid="{99D16026-4497-449D-A9A7-B1FB769DF9FB}" name="participants_gender_prefer_not_to_respond"/>
    <tableColumn id="7" xr3:uid="{87463D65-FD6C-4496-9E1C-38AFE58F7BDC}" name="participants_gender_unknown"/>
    <tableColumn id="8" xr3:uid="{5CDA71D0-5B86-4A3D-967D-D9AF215073C5}" name="Gender Unknown (with unknown overall)"/>
    <tableColumn id="9" xr3:uid="{C696CA16-AFFB-4C7A-BD94-A3CED796A101}" name="participants_age_youth"/>
    <tableColumn id="10" xr3:uid="{C37254C6-395C-4287-B75D-93B0CF176EDC}" name="participants_age_adult"/>
    <tableColumn id="11" xr3:uid="{AD2CEC9E-3EBE-4EFC-B4AC-AE28205C3CC8}" name="participants_age_prefer_not_to_respond"/>
    <tableColumn id="12" xr3:uid="{8FED79AE-1396-46FB-AE42-6EC7036079E9}" name="participants_age_unknown"/>
    <tableColumn id="13" xr3:uid="{B7971DC8-CB78-4310-B79A-8454C96BFADC}" name="Age Unknown (with unknown overall)"/>
    <tableColumn id="14" xr3:uid="{33FED504-E68C-41F9-824A-F5EAB6632005}" name="participants_ethnicity_hispanic"/>
    <tableColumn id="15" xr3:uid="{CFF1BDFD-320E-4D69-A5EB-010C68D2B691}" name="participants_ethnicity_non_hispanic"/>
    <tableColumn id="16" xr3:uid="{F9BCAAE6-C000-485E-BB6E-4E084FFDAC8B}" name="participants_ethnicity_prefer_not_to_respond"/>
    <tableColumn id="17" xr3:uid="{AD3E12C8-39D6-4101-810C-8717272632B5}" name="participants_ethnicity_unknown"/>
    <tableColumn id="18" xr3:uid="{6398FDE8-BF5C-49F9-86E9-9433ADB87C93}" name="Ethnicity Unknown (with unknown overall)"/>
    <tableColumn id="19" xr3:uid="{E40AC515-6561-43C6-8031-E13EC30AD043}" name="participants_race_amerind"/>
    <tableColumn id="20" xr3:uid="{32CC2BF2-A933-4B1B-A2B3-3DB576AAF518}" name="participants_race_asian"/>
    <tableColumn id="21" xr3:uid="{0709ADE2-9D4C-40BF-892C-59742A267DB9}" name="participants_race_black"/>
    <tableColumn id="22" xr3:uid="{D28C773F-8C4A-4413-96EA-C49F0E6B2B2E}" name="participants_race_hawpac"/>
    <tableColumn id="23" xr3:uid="{5C5CACFD-4938-4B57-9E70-C7F9CD6DEFFB}" name="participants_race_white"/>
    <tableColumn id="24" xr3:uid="{161C6CD6-EBCE-4584-B543-E7D372B1FB16}" name="participants_race_two_or_more"/>
    <tableColumn id="25" xr3:uid="{87BD3A5F-B392-439F-94C6-910AE90FFC8A}" name="participants_race_prefer_not_to_respond"/>
    <tableColumn id="26" xr3:uid="{816DD558-28AF-47B8-886C-4BD6AB10374F}" name="participants_race_unknown"/>
    <tableColumn id="27" xr3:uid="{057E8DC2-EF95-4D05-BBD7-0DE0B6996BE3}" name="Race Unknown (with unknown overall)"/>
    <tableColumn id="28" xr3:uid="{D9FC3320-7A0B-42CD-954F-C4B1B1CD4E5B}" name="Gender Unknown % All" dataDxfId="19" dataCellStyle="Percent"/>
    <tableColumn id="29" xr3:uid="{A053AE6B-FA08-4D9C-9CBB-CA0F7350816E}" name="Age Unknown % All" dataDxfId="18" dataCellStyle="Percent"/>
    <tableColumn id="30" xr3:uid="{E89B5445-6EE0-4A2F-BA4F-C6439B09E4DB}" name="Ethnicity Unknown % All" dataDxfId="17" dataCellStyle="Percent"/>
    <tableColumn id="31" xr3:uid="{0305702C-C0CB-4116-9ABD-5201496BCD58}" name="Race Unknown % All" dataDxfId="16" dataCellStyle="Percent"/>
    <tableColumn id="32" xr3:uid="{50C21C46-6928-4BC5-AA74-7E2EAAA3908C}" name="Gender: Prefer not to respond % All" dataDxfId="15" dataCellStyle="Percent"/>
    <tableColumn id="33" xr3:uid="{685221BC-A233-49AF-9402-E74929B5EC81}" name="Age: Prefer not to respond % All2" dataDxfId="14" dataCellStyle="Percent"/>
    <tableColumn id="34" xr3:uid="{7A59046E-9006-4E96-9F59-0B60B4DF8A21}" name="Ethnicity: Prefer not to respond % All" dataDxfId="13" dataCellStyle="Percent"/>
    <tableColumn id="35" xr3:uid="{3E1D0A73-59A3-4AAB-A96D-59F268DFE0B0}" name="Race: Prefer not to respond % All" dataDxfId="12" dataCellStyle="Percent"/>
    <tableColumn id="36" xr3:uid="{2CF898AC-A1CD-4535-9CBB-C1F7FD24EB7E}" name="Male Percentage of known gender" dataDxfId="11" dataCellStyle="Percent"/>
    <tableColumn id="37" xr3:uid="{8E6D591F-F76D-403F-A53D-BB8A55B49C0D}" name="Percentag Female" dataDxfId="10" dataCellStyle="Percent"/>
    <tableColumn id="38" xr3:uid="{679D74D7-FCDC-44F1-ACAA-D0A13C87FE4B}" name="Percentage Youth of known age" dataDxfId="9" dataCellStyle="Percent"/>
    <tableColumn id="39" xr3:uid="{7E36F634-746B-4496-8FDD-AA99E2ED4732}" name="Percentage Adult of known Age" dataDxfId="8" dataCellStyle="Percent"/>
    <tableColumn id="40" xr3:uid="{146FE369-7DFA-46B7-BC71-C140A0A5E096}" name="Percentage Hispanic of known ethnicity" dataDxfId="7" dataCellStyle="Percent"/>
    <tableColumn id="41" xr3:uid="{1233B92C-DDBE-4FF1-88FE-427DA12081E2}" name="Percentage non-hispanic of known ethnicity" dataDxfId="6" dataCellStyle="Percent"/>
    <tableColumn id="42" xr3:uid="{BE608B7A-1E94-4A4E-9A7D-38EEE8B3F996}" name="Percentage American Indian of known race" dataDxfId="5" dataCellStyle="Percent"/>
    <tableColumn id="43" xr3:uid="{6F2C5F68-AF86-42CF-92AA-E00B04F3D1F4}" name="Percentage Asian of known race" dataDxfId="4" dataCellStyle="Percent"/>
    <tableColumn id="44" xr3:uid="{5C20C97F-DB12-452E-8578-3DE5FF18D62B}" name="Percentage Black of known race" dataDxfId="3" dataCellStyle="Percent"/>
    <tableColumn id="45" xr3:uid="{974E82AA-DDC7-4409-B850-857FC0539299}" name="Percentage Hawaiian of known race" dataDxfId="2" dataCellStyle="Percent"/>
    <tableColumn id="46" xr3:uid="{BBD6359A-985B-4AD9-AF1E-1BDDEBCF8C6C}" name="Percentage White of known race" dataDxfId="1" dataCellStyle="Percent"/>
    <tableColumn id="47" xr3:uid="{44AC8387-977E-4D03-B00C-E45647390BFE}" name="Percentage Two or More Races of known race" dataDxfId="0" dataCellStyle="Percent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E9F7B0-1B50-4256-8248-0189436AA885}" name="WorkTeams" displayName="WorkTeams" ref="A1:A5" totalsRowShown="0">
  <autoFilter ref="A1:A5" xr:uid="{62E9F7B0-1B50-4256-8248-0189436AA885}"/>
  <tableColumns count="1">
    <tableColumn id="1" xr3:uid="{443A9BBD-60D5-4CD2-8461-BAC5DFC97993}" name="Work Team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="85" zoomScaleNormal="85" workbookViewId="0">
      <selection activeCell="A3" sqref="A3:E3"/>
    </sheetView>
  </sheetViews>
  <sheetFormatPr defaultColWidth="0" defaultRowHeight="14.5" zeroHeight="1" x14ac:dyDescent="0.35"/>
  <cols>
    <col min="1" max="1" width="55.36328125" customWidth="1"/>
    <col min="2" max="2" width="9.36328125" customWidth="1"/>
    <col min="3" max="5" width="9.26953125" style="1" customWidth="1"/>
    <col min="6" max="6" width="2.36328125" customWidth="1"/>
    <col min="7" max="7" width="160.81640625" bestFit="1" customWidth="1"/>
    <col min="8" max="16384" width="8.7265625" hidden="1"/>
  </cols>
  <sheetData>
    <row r="1" spans="1:7" x14ac:dyDescent="0.35">
      <c r="A1" s="6" t="s">
        <v>0</v>
      </c>
      <c r="B1" s="6"/>
      <c r="C1" s="5"/>
      <c r="D1" s="5"/>
      <c r="E1" s="5"/>
      <c r="F1" s="7"/>
      <c r="G1" s="7"/>
    </row>
    <row r="2" spans="1:7" ht="7" customHeight="1" thickBot="1" x14ac:dyDescent="0.4">
      <c r="A2" s="7"/>
      <c r="B2" s="7"/>
      <c r="C2" s="5"/>
      <c r="D2" s="5"/>
      <c r="E2" s="5"/>
      <c r="F2" s="7"/>
      <c r="G2" s="7"/>
    </row>
    <row r="3" spans="1:7" ht="26" customHeight="1" thickBot="1" x14ac:dyDescent="0.4">
      <c r="A3" s="57" t="s">
        <v>92</v>
      </c>
      <c r="B3" s="58"/>
      <c r="C3" s="58"/>
      <c r="D3" s="58"/>
      <c r="E3" s="59"/>
      <c r="F3" s="7"/>
      <c r="G3" s="7"/>
    </row>
    <row r="4" spans="1:7" ht="23.5" customHeight="1" x14ac:dyDescent="0.35">
      <c r="A4" s="7"/>
      <c r="B4" s="7"/>
      <c r="C4" s="5"/>
      <c r="D4" s="5"/>
      <c r="E4" s="5"/>
      <c r="F4" s="7"/>
      <c r="G4" s="7"/>
    </row>
    <row r="5" spans="1:7" x14ac:dyDescent="0.35">
      <c r="A5" s="53" t="s">
        <v>91</v>
      </c>
      <c r="B5" s="53"/>
      <c r="C5" s="5"/>
      <c r="D5" s="5"/>
      <c r="E5" s="5"/>
      <c r="F5" s="7"/>
      <c r="G5" s="7" t="s">
        <v>45</v>
      </c>
    </row>
    <row r="6" spans="1:7" ht="83" customHeight="1" thickBot="1" x14ac:dyDescent="0.4">
      <c r="A6" s="7"/>
      <c r="B6" s="52" t="s">
        <v>93</v>
      </c>
      <c r="C6" s="52" t="s">
        <v>94</v>
      </c>
      <c r="D6" s="52" t="s">
        <v>95</v>
      </c>
      <c r="E6" s="52" t="s">
        <v>96</v>
      </c>
      <c r="F6" s="7"/>
      <c r="G6" s="7"/>
    </row>
    <row r="7" spans="1:7" s="10" customFormat="1" ht="19" customHeight="1" thickBot="1" x14ac:dyDescent="0.4">
      <c r="A7" s="8" t="s">
        <v>2</v>
      </c>
      <c r="B7" s="24" cm="1">
        <f t="array" ref="B7">VLOOKUP($A$3,Extension2019[],COLUMN(Extension2019[Total Participants]),FALSE)</f>
        <v>70108</v>
      </c>
      <c r="C7" s="24" cm="1">
        <f t="array" ref="C7">VLOOKUP($A$3,Extension2020[],COLUMN(Extension2020[Total Participants]),FALSE)</f>
        <v>32706</v>
      </c>
      <c r="D7" s="24" cm="1">
        <f t="array" ref="D7">VLOOKUP($A$3,Extension2021[],COLUMN(Extension2021[Total Participants]),FALSE)</f>
        <v>21340</v>
      </c>
      <c r="E7" s="25" cm="1">
        <f t="array" ref="E7">VLOOKUP($A$3,Extension2022[],COLUMN(Extension2022[Total Participants]),FALSE)</f>
        <v>43312</v>
      </c>
      <c r="F7" s="9"/>
      <c r="G7" s="9"/>
    </row>
    <row r="8" spans="1:7" s="10" customFormat="1" ht="39.5" customHeight="1" thickBot="1" x14ac:dyDescent="0.4">
      <c r="A8" s="60" t="s">
        <v>86</v>
      </c>
      <c r="B8" s="61"/>
      <c r="C8" s="61"/>
      <c r="D8" s="61"/>
      <c r="E8" s="62"/>
      <c r="F8" s="9"/>
      <c r="G8" s="9"/>
    </row>
    <row r="9" spans="1:7" s="10" customFormat="1" ht="19" customHeight="1" x14ac:dyDescent="0.35">
      <c r="A9" s="11" t="s">
        <v>51</v>
      </c>
      <c r="B9" s="26" cm="1">
        <f t="array" ref="B9">VLOOKUP($A$3,Extension2019[],COLUMN(Extension2019[Gender Unknown % All]),FALSE)</f>
        <v>1.4277971130256176E-2</v>
      </c>
      <c r="C9" s="26" cm="1">
        <f t="array" ref="C9">VLOOKUP($A$3,Extension2020[],COLUMN(Extension2020[Gender Unknown % All]),FALSE)</f>
        <v>2.8129395218002812E-2</v>
      </c>
      <c r="D9" s="26" cm="1">
        <f t="array" ref="D9">VLOOKUP($A$3,Extension2021[],COLUMN(Extension2021[Gender Unknown % All]),FALSE)</f>
        <v>6.583880037488285E-2</v>
      </c>
      <c r="E9" s="27" cm="1">
        <f t="array" ref="E9">VLOOKUP($A$3,Extension2022[],COLUMN(Extension2022[Gender Unknown % All]),FALSE)</f>
        <v>3.6156261544144808E-2</v>
      </c>
      <c r="F9" s="9"/>
      <c r="G9" s="9" t="s">
        <v>46</v>
      </c>
    </row>
    <row r="10" spans="1:7" s="10" customFormat="1" ht="19" customHeight="1" x14ac:dyDescent="0.35">
      <c r="A10" s="12" t="s">
        <v>52</v>
      </c>
      <c r="B10" s="28" cm="1">
        <f t="array" ref="B10">VLOOKUP($A$3,Extension2019[],COLUMN(Extension2019[Age Unknown % All]),FALSE)</f>
        <v>0</v>
      </c>
      <c r="C10" s="28" cm="1">
        <f t="array" ref="C10">VLOOKUP($A$3,Extension2020[],COLUMN(Extension2020[Age Unknown % All]),FALSE)</f>
        <v>0</v>
      </c>
      <c r="D10" s="28" cm="1">
        <f t="array" ref="D10">VLOOKUP($A$3,Extension2020[],COLUMN(Extension2020[Age Unknown % All]),FALSE)</f>
        <v>0</v>
      </c>
      <c r="E10" s="29" cm="1">
        <f t="array" ref="E10">VLOOKUP($A$3,Extension2022[],COLUMN(Extension2022[Age Unknown % All]),FALSE)</f>
        <v>0</v>
      </c>
      <c r="F10" s="9"/>
      <c r="G10" s="9" t="s">
        <v>47</v>
      </c>
    </row>
    <row r="11" spans="1:7" s="10" customFormat="1" ht="19" customHeight="1" x14ac:dyDescent="0.35">
      <c r="A11" s="12" t="s">
        <v>53</v>
      </c>
      <c r="B11" s="28" cm="1">
        <f t="array" ref="B11">VLOOKUP($A$3,Extension2019[],COLUMN(Extension2019[Ethnicity Unknown % All]),FALSE)</f>
        <v>0</v>
      </c>
      <c r="C11" s="28" cm="1">
        <f t="array" ref="C11">VLOOKUP($A$3,Extension2020[],COLUMN(Extension2020[Ethnicity Unknown % All]),FALSE)</f>
        <v>5.0694062251574634E-2</v>
      </c>
      <c r="D11" s="28" cm="1">
        <f t="array" ref="D11">VLOOKUP($A$3,Extension2021[],COLUMN(Extension2021[Ethnicity Unknown % All]),FALSE)</f>
        <v>9.7469540768509846E-2</v>
      </c>
      <c r="E11" s="29" cm="1">
        <f t="array" ref="E11">VLOOKUP($A$3,Extension2022[],COLUMN(Extension2022[Ethnicity Unknown % All]),FALSE)</f>
        <v>7.8315478389360912E-2</v>
      </c>
      <c r="F11" s="9"/>
      <c r="G11" s="9" t="s">
        <v>48</v>
      </c>
    </row>
    <row r="12" spans="1:7" s="10" customFormat="1" ht="19" customHeight="1" thickBot="1" x14ac:dyDescent="0.4">
      <c r="A12" s="13" t="s">
        <v>54</v>
      </c>
      <c r="B12" s="30" cm="1">
        <f t="array" ref="B12">VLOOKUP($A$3,Extension2019[],COLUMN(Extension2019[Race Unknown % All]),FALSE)</f>
        <v>0</v>
      </c>
      <c r="C12" s="30" cm="1">
        <f t="array" ref="C12">VLOOKUP($A$3,Extension2020[],COLUMN(Extension2020[Race Unknown % All]),FALSE)</f>
        <v>6.7449397664037181E-2</v>
      </c>
      <c r="D12" s="30" cm="1">
        <f t="array" ref="D12">VLOOKUP($A$3,Extension2021[],COLUMN(Extension2021[Race Unknown % All]),FALSE)</f>
        <v>0.11865042174320525</v>
      </c>
      <c r="E12" s="31" cm="1">
        <f t="array" ref="E12">VLOOKUP($A$3,Extension2022[],COLUMN(Extension2022[Race Unknown % All]),FALSE)</f>
        <v>0.10595216106390838</v>
      </c>
      <c r="F12" s="9"/>
      <c r="G12" s="9" t="s">
        <v>49</v>
      </c>
    </row>
    <row r="13" spans="1:7" s="10" customFormat="1" ht="39.5" customHeight="1" thickBot="1" x14ac:dyDescent="0.4">
      <c r="A13" s="63" t="s">
        <v>87</v>
      </c>
      <c r="B13" s="64"/>
      <c r="C13" s="64"/>
      <c r="D13" s="64"/>
      <c r="E13" s="65"/>
      <c r="F13" s="9"/>
      <c r="G13" s="9"/>
    </row>
    <row r="14" spans="1:7" s="10" customFormat="1" ht="19" customHeight="1" x14ac:dyDescent="0.35">
      <c r="A14" s="14" t="s">
        <v>50</v>
      </c>
      <c r="B14" s="32" cm="1">
        <f t="array" ref="B14">VLOOKUP($A$3,Extension2019[],COLUMN(Extension2019[Gender: Prefer not to respond % All]),FALSE)</f>
        <v>0</v>
      </c>
      <c r="C14" s="32" cm="1">
        <f t="array" ref="C14">VLOOKUP($A$3,Extension2020[],COLUMN(Extension2020[Gender: Prefer not to respond % All]),FALSE)</f>
        <v>0</v>
      </c>
      <c r="D14" s="32" cm="1">
        <f t="array" ref="D14">VLOOKUP($A$3,Extension2021[],COLUMN(Extension2021[Gender: Prefer not to respond % All]),FALSE)</f>
        <v>0</v>
      </c>
      <c r="E14" s="33" cm="1">
        <f t="array" ref="E14">VLOOKUP($A$3,Extension2022[],COLUMN(Extension2022[Gender: Prefer not to respond % All]),FALSE)</f>
        <v>0</v>
      </c>
      <c r="F14" s="9"/>
      <c r="G14" s="9" t="s">
        <v>63</v>
      </c>
    </row>
    <row r="15" spans="1:7" s="10" customFormat="1" ht="19" customHeight="1" x14ac:dyDescent="0.35">
      <c r="A15" s="15" t="s">
        <v>55</v>
      </c>
      <c r="B15" s="34" cm="1">
        <f t="array" ref="B15">VLOOKUP($A$3,Extension2019[],COLUMN(Extension2019[Age: Prefer not to respond % All2]),FALSE)</f>
        <v>0</v>
      </c>
      <c r="C15" s="34" cm="1">
        <f t="array" ref="C15">VLOOKUP($A$3,Extension2020[],COLUMN(Extension2020[Age: Prefer not to respond % All2]),FALSE)</f>
        <v>0</v>
      </c>
      <c r="D15" s="34" cm="1">
        <f t="array" ref="D15">VLOOKUP($A$3,Extension2021[],COLUMN(Extension2021[Age: Prefer not to respond % All2]),FALSE)</f>
        <v>9.372071227741331E-5</v>
      </c>
      <c r="E15" s="35" cm="1">
        <f t="array" ref="E15">VLOOKUP($A$3,Extension2022[],COLUMN(Extension2022[Age: Prefer not to respond % All2]),FALSE)</f>
        <v>0</v>
      </c>
      <c r="F15" s="9"/>
      <c r="G15" s="9" t="s">
        <v>64</v>
      </c>
    </row>
    <row r="16" spans="1:7" s="10" customFormat="1" ht="19" customHeight="1" x14ac:dyDescent="0.35">
      <c r="A16" s="15" t="s">
        <v>56</v>
      </c>
      <c r="B16" s="34" cm="1">
        <f t="array" ref="B16">VLOOKUP($A$3,Extension2019[],COLUMN(Extension2019[Ethnicity: Prefer not to respond % All]),FALSE)</f>
        <v>0</v>
      </c>
      <c r="C16" s="34" cm="1">
        <f t="array" ref="C16">VLOOKUP($A$3,Extension2020[],COLUMN(Extension2020[Ethnicity: Prefer not to respond % All]),FALSE)</f>
        <v>4.1032226502782362E-2</v>
      </c>
      <c r="D16" s="34" cm="1">
        <f t="array" ref="D16">VLOOKUP($A$3,Extension2021[],COLUMN(Extension2021[Ethnicity: Prefer not to respond % All]),FALSE)</f>
        <v>4.4611059044048731E-2</v>
      </c>
      <c r="E16" s="35" cm="1">
        <f t="array" ref="E16">VLOOKUP($A$3,Extension2022[],COLUMN(Extension2022[Ethnicity: Prefer not to respond % All]),FALSE)</f>
        <v>4.2551717768747693E-2</v>
      </c>
      <c r="F16" s="9"/>
      <c r="G16" s="9" t="s">
        <v>65</v>
      </c>
    </row>
    <row r="17" spans="1:7" s="10" customFormat="1" ht="19" customHeight="1" thickBot="1" x14ac:dyDescent="0.4">
      <c r="A17" s="16" t="s">
        <v>57</v>
      </c>
      <c r="B17" s="36" cm="1">
        <f t="array" ref="B17">VLOOKUP($A$3,Extension2019[],COLUMN(Extension2019[Race: Prefer not to respond % All]),FALSE)</f>
        <v>0</v>
      </c>
      <c r="C17" s="36" cm="1">
        <f t="array" ref="C17">VLOOKUP($A$3,Extension2020[],COLUMN(Extension2020[Race: Prefer not to respond % All]),FALSE)</f>
        <v>2.1341649850180396E-2</v>
      </c>
      <c r="D17" s="36" cm="1">
        <f t="array" ref="D17">VLOOKUP($A$3,Extension2021[],COLUMN(Extension2021[Race: Prefer not to respond % All]),FALSE)</f>
        <v>3.0834114339268977E-2</v>
      </c>
      <c r="E17" s="37" cm="1">
        <f t="array" ref="E17">VLOOKUP($A$3,Extension2022[],COLUMN(Extension2022[Race: Prefer not to respond % All]),FALSE)</f>
        <v>2.8929626893239749E-2</v>
      </c>
      <c r="F17" s="9"/>
      <c r="G17" s="9" t="s">
        <v>66</v>
      </c>
    </row>
    <row r="18" spans="1:7" s="10" customFormat="1" ht="39.5" customHeight="1" thickBot="1" x14ac:dyDescent="0.4">
      <c r="A18" s="66" t="s">
        <v>88</v>
      </c>
      <c r="B18" s="67"/>
      <c r="C18" s="67"/>
      <c r="D18" s="67"/>
      <c r="E18" s="68"/>
      <c r="F18" s="9"/>
      <c r="G18" s="9"/>
    </row>
    <row r="19" spans="1:7" s="10" customFormat="1" ht="19" customHeight="1" x14ac:dyDescent="0.35">
      <c r="A19" s="17" t="s">
        <v>68</v>
      </c>
      <c r="B19" s="38" cm="1">
        <f t="array" ref="B19">VLOOKUP($A$3,Extension2019[],COLUMN(Extension2019[Percentag Female]),FALSE)</f>
        <v>0.58486115733572575</v>
      </c>
      <c r="C19" s="38" cm="1">
        <f t="array" ref="C19">VLOOKUP($A$3,Extension2020[],COLUMN(Extension2020[Percentag Female]),FALSE)</f>
        <v>0.55121751714591327</v>
      </c>
      <c r="D19" s="38" cm="1">
        <f t="array" ref="D19">VLOOKUP($A$3,Extension2021[],COLUMN(Extension2021[Percentag Female]),FALSE)</f>
        <v>0.55329821921244038</v>
      </c>
      <c r="E19" s="39" cm="1">
        <f t="array" ref="E19">VLOOKUP($A$3,Extension2022[],COLUMN(Extension2022[Percentag Female]),FALSE)</f>
        <v>0.54867532218655679</v>
      </c>
      <c r="F19" s="9"/>
      <c r="G19" s="9" t="s">
        <v>69</v>
      </c>
    </row>
    <row r="20" spans="1:7" s="10" customFormat="1" ht="19" customHeight="1" thickBot="1" x14ac:dyDescent="0.4">
      <c r="A20" s="18" t="s">
        <v>62</v>
      </c>
      <c r="B20" s="40" cm="1">
        <f t="array" ref="B20">VLOOKUP($A$3,Extension2019[],COLUMN(Extension2019[Male Percentage of known gender]),FALSE)</f>
        <v>0.41513884266427425</v>
      </c>
      <c r="C20" s="40" cm="1">
        <f t="array" ref="C20">VLOOKUP($A$3,Extension2020[],COLUMN(Extension2020[Male Percentage of known gender]),FALSE)</f>
        <v>0.44878248285408673</v>
      </c>
      <c r="D20" s="40" cm="1">
        <f t="array" ref="D20">VLOOKUP($A$3,Extension2021[],COLUMN(Extension2021[Male Percentage of known gender]),FALSE)</f>
        <v>0.44670178078755957</v>
      </c>
      <c r="E20" s="41" cm="1">
        <f t="array" ref="E20">VLOOKUP($A$3,Extension2022[],COLUMN(Extension2022[Male Percentage of known gender]),FALSE)</f>
        <v>0.45132467781344321</v>
      </c>
      <c r="F20" s="9"/>
      <c r="G20" s="9" t="s">
        <v>67</v>
      </c>
    </row>
    <row r="21" spans="1:7" s="10" customFormat="1" ht="40" customHeight="1" thickBot="1" x14ac:dyDescent="0.4">
      <c r="A21" s="69" t="s">
        <v>89</v>
      </c>
      <c r="B21" s="70"/>
      <c r="C21" s="70"/>
      <c r="D21" s="70"/>
      <c r="E21" s="71"/>
      <c r="F21" s="9"/>
      <c r="G21" s="9"/>
    </row>
    <row r="22" spans="1:7" s="10" customFormat="1" ht="19" customHeight="1" x14ac:dyDescent="0.35">
      <c r="A22" s="19" t="s">
        <v>70</v>
      </c>
      <c r="B22" s="42" cm="1">
        <f t="array" ref="B22">VLOOKUP($A$3,Extension2019[],COLUMN(Extension2019[Percentage Hispanic of known ethnicity]),FALSE)</f>
        <v>8.1878694781920586E-2</v>
      </c>
      <c r="C22" s="42" cm="1">
        <f t="array" ref="C22">VLOOKUP($A$3,Extension2020[],COLUMN(Extension2020[Percentage Hispanic of known ethnicity]),FALSE)</f>
        <v>9.3179828990776273E-2</v>
      </c>
      <c r="D22" s="42" cm="1">
        <f t="array" ref="D22">VLOOKUP($A$3,Extension2021[],COLUMN(Extension2021[Percentage Hispanic of known ethnicity]),FALSE)</f>
        <v>0.11071662661131745</v>
      </c>
      <c r="E22" s="43" cm="1">
        <f t="array" ref="E22">VLOOKUP($A$3,Extension2022[],COLUMN(Extension2022[Percentage Hispanic of known ethnicity]),FALSE)</f>
        <v>8.7244268193397589E-2</v>
      </c>
      <c r="F22" s="9"/>
      <c r="G22" s="9" t="s">
        <v>72</v>
      </c>
    </row>
    <row r="23" spans="1:7" s="10" customFormat="1" ht="19" customHeight="1" thickBot="1" x14ac:dyDescent="0.4">
      <c r="A23" s="20" t="s">
        <v>71</v>
      </c>
      <c r="B23" s="44" cm="1">
        <f t="array" ref="B23">VLOOKUP($A$3,Extension2019[],COLUMN(Extension2019[Percentage non-hispanic of known ethnicity]),FALSE)</f>
        <v>0.91812130521807944</v>
      </c>
      <c r="C23" s="44" cm="1">
        <f t="array" ref="C23">VLOOKUP($A$3,Extension2020[],COLUMN(Extension2020[Percentage non-hispanic of known ethnicity]),FALSE)</f>
        <v>0.90682017100922374</v>
      </c>
      <c r="D23" s="44" cm="1">
        <f t="array" ref="D23">VLOOKUP($A$3,Extension2021[],COLUMN(Extension2021[Percentage non-hispanic of known ethnicity]),FALSE)</f>
        <v>0.88928337338868257</v>
      </c>
      <c r="E23" s="45" cm="1">
        <f t="array" ref="E23">VLOOKUP($A$3,Extension2022[],COLUMN(Extension2022[Percentage non-hispanic of known ethnicity]),FALSE)</f>
        <v>0.91275573180660241</v>
      </c>
      <c r="F23" s="9"/>
      <c r="G23" s="9" t="s">
        <v>73</v>
      </c>
    </row>
    <row r="24" spans="1:7" s="10" customFormat="1" ht="39.5" customHeight="1" thickBot="1" x14ac:dyDescent="0.4">
      <c r="A24" s="54" t="s">
        <v>90</v>
      </c>
      <c r="B24" s="55"/>
      <c r="C24" s="55"/>
      <c r="D24" s="55"/>
      <c r="E24" s="56"/>
      <c r="F24" s="9"/>
      <c r="G24" s="9"/>
    </row>
    <row r="25" spans="1:7" s="10" customFormat="1" ht="19" customHeight="1" x14ac:dyDescent="0.35">
      <c r="A25" s="21" t="s">
        <v>79</v>
      </c>
      <c r="B25" s="46" cm="1">
        <f t="array" ref="B25">VLOOKUP($A$3,Extension2019[],COLUMN(Extension2019[Percentage American Indian of known race]),FALSE)</f>
        <v>2.234521131762756E-2</v>
      </c>
      <c r="C25" s="46" cm="1">
        <f t="array" ref="C25">VLOOKUP($A$3,Extension2020[],COLUMN(Extension2020[Percentage American Indian of known race]),FALSE)</f>
        <v>2.3628074145562249E-2</v>
      </c>
      <c r="D25" s="46" cm="1">
        <f t="array" ref="D25">VLOOKUP($A$3,Extension2021[],COLUMN(Extension2021[Percentage American Indian of known race]),FALSE)</f>
        <v>1.7422906311795199E-2</v>
      </c>
      <c r="E25" s="47" cm="1">
        <f t="array" ref="E25">VLOOKUP($A$3,Extension2022[],COLUMN(Extension2022[Percentage American Indian of known race]),FALSE)</f>
        <v>1.9758795554271E-2</v>
      </c>
      <c r="F25" s="9"/>
      <c r="G25" s="9" t="s">
        <v>80</v>
      </c>
    </row>
    <row r="26" spans="1:7" s="10" customFormat="1" ht="19" customHeight="1" x14ac:dyDescent="0.35">
      <c r="A26" s="22" t="s">
        <v>74</v>
      </c>
      <c r="B26" s="48" cm="1">
        <f t="array" ref="B26">VLOOKUP($A$3,Extension2019[],COLUMN(Extension2019[Percentage Asian of known race]),FALSE)</f>
        <v>1.7402628152006629E-2</v>
      </c>
      <c r="C26" s="48" cm="1">
        <f t="array" ref="C26">VLOOKUP($A$3,Extension2020[],COLUMN(Extension2020[Percentage Asian of known race]),FALSE)</f>
        <v>1.2446337648507437E-2</v>
      </c>
      <c r="D26" s="48" cm="1">
        <f t="array" ref="D26">VLOOKUP($A$3,Extension2021[],COLUMN(Extension2021[Percentage Asian of known race]),FALSE)</f>
        <v>1.5231681898348564E-2</v>
      </c>
      <c r="E26" s="49" cm="1">
        <f t="array" ref="E26">VLOOKUP($A$3,Extension2022[],COLUMN(Extension2022[Percentage Asian of known race]),FALSE)</f>
        <v>1.0799022570219922E-2</v>
      </c>
      <c r="F26" s="9"/>
      <c r="G26" s="9" t="s">
        <v>81</v>
      </c>
    </row>
    <row r="27" spans="1:7" s="10" customFormat="1" ht="19" customHeight="1" x14ac:dyDescent="0.35">
      <c r="A27" s="22" t="s">
        <v>75</v>
      </c>
      <c r="B27" s="48" cm="1">
        <f t="array" ref="B27">VLOOKUP($A$3,Extension2019[],COLUMN(Extension2019[Percentage Black of known race]),FALSE)</f>
        <v>0.24224576772818751</v>
      </c>
      <c r="C27" s="48" cm="1">
        <f t="array" ref="C27">VLOOKUP($A$3,Extension2020[],COLUMN(Extension2020[Percentage Black of known race]),FALSE)</f>
        <v>0.25328629904489336</v>
      </c>
      <c r="D27" s="48" cm="1">
        <f t="array" ref="D27">VLOOKUP($A$3,Extension2021[],COLUMN(Extension2021[Percentage Black of known race]),FALSE)</f>
        <v>0.25471647693869914</v>
      </c>
      <c r="E27" s="49" cm="1">
        <f t="array" ref="E27">VLOOKUP($A$3,Extension2022[],COLUMN(Extension2022[Percentage Black of known race]),FALSE)</f>
        <v>0.22819832365537718</v>
      </c>
      <c r="F27" s="9"/>
      <c r="G27" s="9" t="s">
        <v>82</v>
      </c>
    </row>
    <row r="28" spans="1:7" s="10" customFormat="1" ht="19" customHeight="1" x14ac:dyDescent="0.35">
      <c r="A28" s="22" t="s">
        <v>76</v>
      </c>
      <c r="B28" s="48" cm="1">
        <f t="array" ref="B28">VLOOKUP($A$3,Extension2019[],COLUMN(Extension2019[Percentage Hawaiian of known race]),FALSE)</f>
        <v>4.099088433763466E-3</v>
      </c>
      <c r="C28" s="48" cm="1">
        <f t="array" ref="C28">VLOOKUP($A$3,Extension2020[],COLUMN(Extension2020[Percentage Hawaiian of known race]),FALSE)</f>
        <v>3.5608506106692404E-3</v>
      </c>
      <c r="D28" s="48" cm="1">
        <f t="array" ref="D28">VLOOKUP($A$3,Extension2021[],COLUMN(Extension2021[Percentage Hawaiian of known race]),FALSE)</f>
        <v>2.886002886002886E-3</v>
      </c>
      <c r="E28" s="49" cm="1">
        <f t="array" ref="E28">VLOOKUP($A$3,Extension2022[],COLUMN(Extension2022[Percentage Hawaiian of known race]),FALSE)</f>
        <v>2.2333744974907381E-3</v>
      </c>
      <c r="F28" s="9"/>
      <c r="G28" s="9" t="s">
        <v>83</v>
      </c>
    </row>
    <row r="29" spans="1:7" s="10" customFormat="1" ht="19" customHeight="1" x14ac:dyDescent="0.35">
      <c r="A29" s="22" t="s">
        <v>77</v>
      </c>
      <c r="B29" s="48" cm="1">
        <f t="array" ref="B29">VLOOKUP($A$3,Extension2019[],COLUMN(Extension2019[Percentage White of known race]),FALSE)</f>
        <v>0.71390730436841487</v>
      </c>
      <c r="C29" s="48" cm="1">
        <f t="array" ref="C29">VLOOKUP($A$3,Extension2020[],COLUMN(Extension2020[Percentage White of known race]),FALSE)</f>
        <v>0.70032280608339714</v>
      </c>
      <c r="D29" s="48" cm="1">
        <f t="array" ref="D29">VLOOKUP($A$3,Extension2021[],COLUMN(Extension2021[Percentage White of known race]),FALSE)</f>
        <v>0.6949388060499172</v>
      </c>
      <c r="E29" s="49" cm="1">
        <f t="array" ref="E29">VLOOKUP($A$3,Extension2022[],COLUMN(Extension2022[Percentage White of known race]),FALSE)</f>
        <v>0.73252056018287393</v>
      </c>
      <c r="F29" s="9"/>
      <c r="G29" s="9" t="s">
        <v>84</v>
      </c>
    </row>
    <row r="30" spans="1:7" s="10" customFormat="1" ht="19" customHeight="1" thickBot="1" x14ac:dyDescent="0.4">
      <c r="A30" s="23" t="s">
        <v>78</v>
      </c>
      <c r="B30" s="50" cm="1">
        <f t="array" ref="B30">VLOOKUP($A$3,Extension2019[],COLUMN(Extension2019[Percentage Two or More Races of known race]),FALSE)</f>
        <v>0</v>
      </c>
      <c r="C30" s="50" cm="1">
        <f t="array" ref="C30">VLOOKUP($A$3,Extension2020[],COLUMN(Extension2020[Percentage Two or More Races of known race]),FALSE)</f>
        <v>6.7556324669706151E-3</v>
      </c>
      <c r="D30" s="50" cm="1">
        <f t="array" ref="D30">VLOOKUP($A$3,Extension2021[],COLUMN(Extension2021[Percentage Two or More Races of known race]),FALSE)</f>
        <v>1.4804125915237026E-2</v>
      </c>
      <c r="E30" s="51" cm="1">
        <f t="array" ref="E30">VLOOKUP($A$3,Extension2022[],COLUMN(Extension2022[Percentage Two or More Races of known race]),FALSE)</f>
        <v>6.4899235397672039E-3</v>
      </c>
      <c r="F30" s="9"/>
      <c r="G30" s="9" t="s">
        <v>85</v>
      </c>
    </row>
    <row r="31" spans="1:7" x14ac:dyDescent="0.35">
      <c r="A31" s="7"/>
      <c r="B31" s="7"/>
      <c r="C31" s="5"/>
      <c r="D31" s="5"/>
      <c r="E31" s="5"/>
      <c r="F31" s="7"/>
      <c r="G31" s="7"/>
    </row>
  </sheetData>
  <sheetProtection algorithmName="SHA-512" hashValue="auztLG/um5I7eyRr6k1EQj3a12FkkfsrDeRh4kWdm0q609K2MvhDgqUwDJCPOpzU6KsH3xQ0WxHTyVRXYWtK8g==" saltValue="aToEWUIQJYXpDvcsHUBVbQ==" spinCount="100000" sheet="1" objects="1" scenarios="1"/>
  <mergeCells count="6">
    <mergeCell ref="A24:E24"/>
    <mergeCell ref="A3:E3"/>
    <mergeCell ref="A8:E8"/>
    <mergeCell ref="A13:E13"/>
    <mergeCell ref="A18:E18"/>
    <mergeCell ref="A21:E2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92A8A8-FB0A-4F5A-BB4B-EA3FB54B9938}">
          <x14:formula1>
            <xm:f>'Work Teams'!$A$2:$A$5</xm:f>
          </x14:formula1>
          <xm:sqref>A3:B3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25686-F576-4C17-9BAB-277BF9EBD285}">
  <dimension ref="A1:AU2"/>
  <sheetViews>
    <sheetView zoomScale="70" zoomScaleNormal="70" workbookViewId="0">
      <selection activeCell="A2" sqref="A2"/>
    </sheetView>
  </sheetViews>
  <sheetFormatPr defaultColWidth="10.81640625" defaultRowHeight="14.5" x14ac:dyDescent="0.35"/>
  <cols>
    <col min="1" max="1" width="45.90625" bestFit="1" customWidth="1"/>
    <col min="28" max="47" width="10.81640625" style="2"/>
  </cols>
  <sheetData>
    <row r="1" spans="1:47" s="3" customFormat="1" ht="101.5" x14ac:dyDescent="0.35">
      <c r="A1" s="3" t="s">
        <v>7</v>
      </c>
      <c r="B1" s="3" t="s">
        <v>2</v>
      </c>
      <c r="C1" s="3" t="s">
        <v>8</v>
      </c>
      <c r="D1" s="3" t="s">
        <v>9</v>
      </c>
      <c r="E1" s="3" t="s">
        <v>10</v>
      </c>
      <c r="F1" s="3" t="s">
        <v>11</v>
      </c>
      <c r="G1" s="3" t="s">
        <v>12</v>
      </c>
      <c r="H1" s="3" t="s">
        <v>13</v>
      </c>
      <c r="I1" s="3" t="s">
        <v>14</v>
      </c>
      <c r="J1" s="3" t="s">
        <v>15</v>
      </c>
      <c r="K1" s="3" t="s">
        <v>16</v>
      </c>
      <c r="L1" s="3" t="s">
        <v>17</v>
      </c>
      <c r="M1" s="3" t="s">
        <v>18</v>
      </c>
      <c r="N1" s="3" t="s">
        <v>19</v>
      </c>
      <c r="O1" s="3" t="s">
        <v>20</v>
      </c>
      <c r="P1" s="3" t="s">
        <v>21</v>
      </c>
      <c r="Q1" s="3" t="s">
        <v>22</v>
      </c>
      <c r="R1" s="3" t="s">
        <v>23</v>
      </c>
      <c r="S1" s="3" t="s">
        <v>24</v>
      </c>
      <c r="T1" s="3" t="s">
        <v>25</v>
      </c>
      <c r="U1" s="3" t="s">
        <v>26</v>
      </c>
      <c r="V1" s="3" t="s">
        <v>27</v>
      </c>
      <c r="W1" s="3" t="s">
        <v>28</v>
      </c>
      <c r="X1" s="3" t="s">
        <v>29</v>
      </c>
      <c r="Y1" s="3" t="s">
        <v>30</v>
      </c>
      <c r="Z1" s="3" t="s">
        <v>31</v>
      </c>
      <c r="AA1" s="3" t="s">
        <v>32</v>
      </c>
      <c r="AB1" s="4" t="s">
        <v>3</v>
      </c>
      <c r="AC1" s="4" t="s">
        <v>4</v>
      </c>
      <c r="AD1" s="4" t="s">
        <v>5</v>
      </c>
      <c r="AE1" s="4" t="s">
        <v>6</v>
      </c>
      <c r="AF1" s="4" t="s">
        <v>58</v>
      </c>
      <c r="AG1" s="4" t="s">
        <v>59</v>
      </c>
      <c r="AH1" s="4" t="s">
        <v>60</v>
      </c>
      <c r="AI1" s="4" t="s">
        <v>61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</row>
    <row r="2" spans="1:47" x14ac:dyDescent="0.35">
      <c r="A2" t="s">
        <v>92</v>
      </c>
      <c r="B2">
        <v>70108</v>
      </c>
      <c r="C2">
        <v>0</v>
      </c>
      <c r="D2">
        <v>28689</v>
      </c>
      <c r="E2">
        <v>40418</v>
      </c>
      <c r="F2">
        <v>0</v>
      </c>
      <c r="G2">
        <v>1001</v>
      </c>
      <c r="H2">
        <v>1001</v>
      </c>
      <c r="I2">
        <v>1262</v>
      </c>
      <c r="J2">
        <v>1977</v>
      </c>
      <c r="K2">
        <v>0</v>
      </c>
      <c r="L2">
        <v>0</v>
      </c>
      <c r="M2">
        <v>0</v>
      </c>
      <c r="N2">
        <v>5277</v>
      </c>
      <c r="O2">
        <v>59172</v>
      </c>
      <c r="P2">
        <v>0</v>
      </c>
      <c r="Q2">
        <v>0</v>
      </c>
      <c r="R2">
        <v>0</v>
      </c>
      <c r="S2">
        <v>1510</v>
      </c>
      <c r="T2">
        <v>1176</v>
      </c>
      <c r="U2">
        <v>16370</v>
      </c>
      <c r="V2">
        <v>277</v>
      </c>
      <c r="W2">
        <v>48243</v>
      </c>
      <c r="X2">
        <v>0</v>
      </c>
      <c r="Y2">
        <v>0</v>
      </c>
      <c r="Z2">
        <v>0</v>
      </c>
      <c r="AA2">
        <v>0</v>
      </c>
      <c r="AB2" s="2">
        <v>1.4277971130256176E-2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0.41513884266427425</v>
      </c>
      <c r="AK2" s="2">
        <v>0.58486115733572575</v>
      </c>
      <c r="AL2" s="2">
        <v>0.38962642790984869</v>
      </c>
      <c r="AM2" s="2">
        <v>0.61037357209015131</v>
      </c>
      <c r="AN2" s="2">
        <v>8.1878694781920586E-2</v>
      </c>
      <c r="AO2" s="2">
        <v>0.91812130521807944</v>
      </c>
      <c r="AP2" s="2">
        <v>2.234521131762756E-2</v>
      </c>
      <c r="AQ2" s="2">
        <v>1.7402628152006629E-2</v>
      </c>
      <c r="AR2" s="2">
        <v>0.24224576772818751</v>
      </c>
      <c r="AS2" s="2">
        <v>4.099088433763466E-3</v>
      </c>
      <c r="AT2" s="2">
        <v>0.71390730436841487</v>
      </c>
      <c r="AU2" s="2">
        <v>0</v>
      </c>
    </row>
  </sheetData>
  <sheetProtection algorithmName="SHA-512" hashValue="mHuuNiTZpuw8jLFT+ONIDeJUuGpO0Zx/uCWWR1FQPew/eOBvymgH81GBCzcJgS0zoEtfr5eR4QNwALVE49l45A==" saltValue="lqJJUbdxVnENen0zTf5hGA==" spinCount="100000"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DB52C-BFE1-4E14-A6A7-787CAB9ED04A}">
  <dimension ref="A1:AU4"/>
  <sheetViews>
    <sheetView zoomScale="70" zoomScaleNormal="70" workbookViewId="0">
      <selection activeCell="A3" sqref="A3"/>
    </sheetView>
  </sheetViews>
  <sheetFormatPr defaultColWidth="10.81640625" defaultRowHeight="14.5" x14ac:dyDescent="0.35"/>
  <cols>
    <col min="1" max="1" width="45.90625" bestFit="1" customWidth="1"/>
    <col min="28" max="47" width="10.81640625" style="2"/>
  </cols>
  <sheetData>
    <row r="1" spans="1:47" s="3" customFormat="1" ht="101.5" x14ac:dyDescent="0.35">
      <c r="A1" s="3" t="s">
        <v>7</v>
      </c>
      <c r="B1" s="3" t="s">
        <v>2</v>
      </c>
      <c r="C1" s="3" t="s">
        <v>8</v>
      </c>
      <c r="D1" s="3" t="s">
        <v>9</v>
      </c>
      <c r="E1" s="3" t="s">
        <v>10</v>
      </c>
      <c r="F1" s="3" t="s">
        <v>11</v>
      </c>
      <c r="G1" s="3" t="s">
        <v>12</v>
      </c>
      <c r="H1" s="3" t="s">
        <v>13</v>
      </c>
      <c r="I1" s="3" t="s">
        <v>14</v>
      </c>
      <c r="J1" s="3" t="s">
        <v>15</v>
      </c>
      <c r="K1" s="3" t="s">
        <v>16</v>
      </c>
      <c r="L1" s="3" t="s">
        <v>17</v>
      </c>
      <c r="M1" s="3" t="s">
        <v>18</v>
      </c>
      <c r="N1" s="3" t="s">
        <v>19</v>
      </c>
      <c r="O1" s="3" t="s">
        <v>20</v>
      </c>
      <c r="P1" s="3" t="s">
        <v>21</v>
      </c>
      <c r="Q1" s="3" t="s">
        <v>22</v>
      </c>
      <c r="R1" s="3" t="s">
        <v>23</v>
      </c>
      <c r="S1" s="3" t="s">
        <v>24</v>
      </c>
      <c r="T1" s="3" t="s">
        <v>25</v>
      </c>
      <c r="U1" s="3" t="s">
        <v>26</v>
      </c>
      <c r="V1" s="3" t="s">
        <v>27</v>
      </c>
      <c r="W1" s="3" t="s">
        <v>28</v>
      </c>
      <c r="X1" s="3" t="s">
        <v>29</v>
      </c>
      <c r="Y1" s="3" t="s">
        <v>30</v>
      </c>
      <c r="Z1" s="3" t="s">
        <v>31</v>
      </c>
      <c r="AA1" s="3" t="s">
        <v>32</v>
      </c>
      <c r="AB1" s="4" t="s">
        <v>3</v>
      </c>
      <c r="AC1" s="4" t="s">
        <v>4</v>
      </c>
      <c r="AD1" s="4" t="s">
        <v>5</v>
      </c>
      <c r="AE1" s="4" t="s">
        <v>6</v>
      </c>
      <c r="AF1" s="4" t="s">
        <v>58</v>
      </c>
      <c r="AG1" s="4" t="s">
        <v>59</v>
      </c>
      <c r="AH1" s="4" t="s">
        <v>60</v>
      </c>
      <c r="AI1" s="4" t="s">
        <v>61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</row>
    <row r="2" spans="1:47" x14ac:dyDescent="0.35">
      <c r="A2" t="s">
        <v>97</v>
      </c>
      <c r="B2">
        <v>84</v>
      </c>
      <c r="C2">
        <v>0</v>
      </c>
      <c r="D2">
        <v>37</v>
      </c>
      <c r="E2">
        <v>47</v>
      </c>
      <c r="F2">
        <v>0</v>
      </c>
      <c r="G2">
        <v>0</v>
      </c>
      <c r="H2">
        <v>0</v>
      </c>
      <c r="I2">
        <v>74</v>
      </c>
      <c r="J2">
        <v>10</v>
      </c>
      <c r="K2">
        <v>0</v>
      </c>
      <c r="L2">
        <v>0</v>
      </c>
      <c r="M2">
        <v>0</v>
      </c>
      <c r="N2">
        <v>14</v>
      </c>
      <c r="O2">
        <v>70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10</v>
      </c>
      <c r="X2">
        <v>0</v>
      </c>
      <c r="Y2">
        <v>0</v>
      </c>
      <c r="Z2">
        <v>74</v>
      </c>
      <c r="AA2">
        <v>74</v>
      </c>
      <c r="AB2" s="2">
        <v>0</v>
      </c>
      <c r="AC2" s="2">
        <v>0</v>
      </c>
      <c r="AD2" s="2">
        <v>0</v>
      </c>
      <c r="AE2" s="2">
        <v>0.88095238095238093</v>
      </c>
      <c r="AF2" s="2">
        <v>0</v>
      </c>
      <c r="AG2" s="2">
        <v>0</v>
      </c>
      <c r="AH2" s="2">
        <v>0</v>
      </c>
      <c r="AI2" s="2">
        <v>0</v>
      </c>
      <c r="AJ2" s="2">
        <v>0.44047619047619047</v>
      </c>
      <c r="AK2" s="2">
        <v>0.55952380952380953</v>
      </c>
      <c r="AL2" s="2">
        <v>0.88095238095238093</v>
      </c>
      <c r="AM2" s="2">
        <v>0.11904761904761904</v>
      </c>
      <c r="AN2" s="2">
        <v>0.16666666666666666</v>
      </c>
      <c r="AO2" s="2">
        <v>0.83333333333333337</v>
      </c>
      <c r="AP2" s="2">
        <v>0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</row>
    <row r="3" spans="1:47" x14ac:dyDescent="0.35">
      <c r="A3" t="s">
        <v>100</v>
      </c>
      <c r="B3">
        <v>37</v>
      </c>
      <c r="C3">
        <v>0</v>
      </c>
      <c r="D3">
        <v>14</v>
      </c>
      <c r="E3">
        <v>23</v>
      </c>
      <c r="F3">
        <v>0</v>
      </c>
      <c r="G3">
        <v>0</v>
      </c>
      <c r="H3">
        <v>0</v>
      </c>
      <c r="I3">
        <v>31</v>
      </c>
      <c r="J3">
        <v>6</v>
      </c>
      <c r="K3">
        <v>0</v>
      </c>
      <c r="L3">
        <v>0</v>
      </c>
      <c r="M3">
        <v>0</v>
      </c>
      <c r="N3">
        <v>6</v>
      </c>
      <c r="O3">
        <v>31</v>
      </c>
      <c r="P3">
        <v>0</v>
      </c>
      <c r="Q3">
        <v>0</v>
      </c>
      <c r="R3">
        <v>0</v>
      </c>
      <c r="S3">
        <v>0</v>
      </c>
      <c r="T3">
        <v>0</v>
      </c>
      <c r="U3">
        <v>6</v>
      </c>
      <c r="V3">
        <v>0</v>
      </c>
      <c r="W3">
        <v>0</v>
      </c>
      <c r="X3">
        <v>0</v>
      </c>
      <c r="Y3">
        <v>0</v>
      </c>
      <c r="Z3">
        <v>31</v>
      </c>
      <c r="AA3">
        <v>31</v>
      </c>
      <c r="AB3" s="2">
        <v>0</v>
      </c>
      <c r="AC3" s="2">
        <v>0</v>
      </c>
      <c r="AD3" s="2">
        <v>0</v>
      </c>
      <c r="AE3" s="2">
        <v>0.83783783783783783</v>
      </c>
      <c r="AF3" s="2">
        <v>0</v>
      </c>
      <c r="AG3" s="2">
        <v>0</v>
      </c>
      <c r="AH3" s="2">
        <v>0</v>
      </c>
      <c r="AI3" s="2">
        <v>0</v>
      </c>
      <c r="AJ3" s="2">
        <v>0.3783783783783784</v>
      </c>
      <c r="AK3" s="2">
        <v>0.6216216216216216</v>
      </c>
      <c r="AL3" s="2">
        <v>0.83783783783783783</v>
      </c>
      <c r="AM3" s="2">
        <v>0.16216216216216217</v>
      </c>
      <c r="AN3" s="2">
        <v>0.16216216216216217</v>
      </c>
      <c r="AO3" s="2">
        <v>0.83783783783783783</v>
      </c>
      <c r="AP3" s="2">
        <v>0</v>
      </c>
      <c r="AQ3" s="2">
        <v>0</v>
      </c>
      <c r="AR3" s="2">
        <v>1</v>
      </c>
      <c r="AS3" s="2">
        <v>0</v>
      </c>
      <c r="AT3" s="2">
        <v>0</v>
      </c>
      <c r="AU3" s="2">
        <v>0</v>
      </c>
    </row>
    <row r="4" spans="1:47" x14ac:dyDescent="0.35">
      <c r="A4" t="s">
        <v>92</v>
      </c>
      <c r="B4">
        <v>32706</v>
      </c>
      <c r="C4">
        <v>0</v>
      </c>
      <c r="D4">
        <v>14265</v>
      </c>
      <c r="E4">
        <v>17521</v>
      </c>
      <c r="F4">
        <v>0</v>
      </c>
      <c r="G4">
        <v>920</v>
      </c>
      <c r="H4">
        <v>920</v>
      </c>
      <c r="I4">
        <v>25212</v>
      </c>
      <c r="J4">
        <v>7490</v>
      </c>
      <c r="K4">
        <v>0</v>
      </c>
      <c r="L4">
        <v>0</v>
      </c>
      <c r="M4">
        <v>0</v>
      </c>
      <c r="N4">
        <v>2768</v>
      </c>
      <c r="O4">
        <v>26938</v>
      </c>
      <c r="P4">
        <v>1342</v>
      </c>
      <c r="Q4">
        <v>1658</v>
      </c>
      <c r="R4">
        <v>1658</v>
      </c>
      <c r="S4">
        <v>710</v>
      </c>
      <c r="T4">
        <v>374</v>
      </c>
      <c r="U4">
        <v>7611</v>
      </c>
      <c r="V4">
        <v>107</v>
      </c>
      <c r="W4">
        <v>21044</v>
      </c>
      <c r="X4">
        <v>203</v>
      </c>
      <c r="Y4">
        <v>698</v>
      </c>
      <c r="Z4">
        <v>2206</v>
      </c>
      <c r="AA4">
        <v>2206</v>
      </c>
      <c r="AB4" s="2">
        <v>2.8129395218002812E-2</v>
      </c>
      <c r="AC4" s="2">
        <v>0</v>
      </c>
      <c r="AD4" s="2">
        <v>5.0694062251574634E-2</v>
      </c>
      <c r="AE4" s="2">
        <v>6.7449397664037181E-2</v>
      </c>
      <c r="AF4" s="2">
        <v>0</v>
      </c>
      <c r="AG4" s="2">
        <v>0</v>
      </c>
      <c r="AH4" s="2">
        <v>4.1032226502782362E-2</v>
      </c>
      <c r="AI4" s="2">
        <v>2.1341649850180396E-2</v>
      </c>
      <c r="AJ4" s="2">
        <v>0.44878248285408673</v>
      </c>
      <c r="AK4" s="2">
        <v>0.55121751714591327</v>
      </c>
      <c r="AL4" s="2">
        <v>0.77096202067151853</v>
      </c>
      <c r="AM4" s="2">
        <v>0.22903797932848144</v>
      </c>
      <c r="AN4" s="2">
        <v>9.3179828990776273E-2</v>
      </c>
      <c r="AO4" s="2">
        <v>0.90682017100922374</v>
      </c>
      <c r="AP4" s="2">
        <v>2.3628074145562249E-2</v>
      </c>
      <c r="AQ4" s="2">
        <v>1.2446337648507437E-2</v>
      </c>
      <c r="AR4" s="2">
        <v>0.25328629904489336</v>
      </c>
      <c r="AS4" s="2">
        <v>3.5608506106692404E-3</v>
      </c>
      <c r="AT4" s="2">
        <v>0.70032280608339714</v>
      </c>
      <c r="AU4" s="2">
        <v>6.7556324669706151E-3</v>
      </c>
    </row>
  </sheetData>
  <sheetProtection algorithmName="SHA-512" hashValue="pSrSe8lv0QkvVin6KtAbFcd8SwVmLnngl1QlfetNuzMB5tkSDbqf6QhA3d8mAdGvuuuSGXL3Am0Uzdu8NE29fQ==" saltValue="JNSjKHhrcY5a3FYS9Sj4ZQ==" spinCount="100000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AA8F3-2025-488F-8D65-3439EC806654}">
  <dimension ref="A1:AU5"/>
  <sheetViews>
    <sheetView zoomScale="85" zoomScaleNormal="85" workbookViewId="0">
      <selection activeCell="A4" sqref="A4"/>
    </sheetView>
  </sheetViews>
  <sheetFormatPr defaultColWidth="9" defaultRowHeight="14.5" x14ac:dyDescent="0.35"/>
  <cols>
    <col min="1" max="1" width="45.90625" bestFit="1" customWidth="1"/>
    <col min="28" max="47" width="9" style="2"/>
  </cols>
  <sheetData>
    <row r="1" spans="1:47" s="3" customFormat="1" ht="101.5" x14ac:dyDescent="0.35">
      <c r="A1" s="3" t="s">
        <v>7</v>
      </c>
      <c r="B1" s="3" t="s">
        <v>2</v>
      </c>
      <c r="C1" s="3" t="s">
        <v>8</v>
      </c>
      <c r="D1" s="3" t="s">
        <v>9</v>
      </c>
      <c r="E1" s="3" t="s">
        <v>10</v>
      </c>
      <c r="F1" s="3" t="s">
        <v>11</v>
      </c>
      <c r="G1" s="3" t="s">
        <v>12</v>
      </c>
      <c r="H1" s="3" t="s">
        <v>13</v>
      </c>
      <c r="I1" s="3" t="s">
        <v>14</v>
      </c>
      <c r="J1" s="3" t="s">
        <v>15</v>
      </c>
      <c r="K1" s="3" t="s">
        <v>16</v>
      </c>
      <c r="L1" s="3" t="s">
        <v>17</v>
      </c>
      <c r="M1" s="3" t="s">
        <v>18</v>
      </c>
      <c r="N1" s="3" t="s">
        <v>19</v>
      </c>
      <c r="O1" s="3" t="s">
        <v>20</v>
      </c>
      <c r="P1" s="3" t="s">
        <v>21</v>
      </c>
      <c r="Q1" s="3" t="s">
        <v>22</v>
      </c>
      <c r="R1" s="3" t="s">
        <v>23</v>
      </c>
      <c r="S1" s="3" t="s">
        <v>24</v>
      </c>
      <c r="T1" s="3" t="s">
        <v>25</v>
      </c>
      <c r="U1" s="3" t="s">
        <v>26</v>
      </c>
      <c r="V1" s="3" t="s">
        <v>27</v>
      </c>
      <c r="W1" s="3" t="s">
        <v>28</v>
      </c>
      <c r="X1" s="3" t="s">
        <v>29</v>
      </c>
      <c r="Y1" s="3" t="s">
        <v>30</v>
      </c>
      <c r="Z1" s="3" t="s">
        <v>31</v>
      </c>
      <c r="AA1" s="3" t="s">
        <v>32</v>
      </c>
      <c r="AB1" s="4" t="s">
        <v>3</v>
      </c>
      <c r="AC1" s="4" t="s">
        <v>4</v>
      </c>
      <c r="AD1" s="4" t="s">
        <v>5</v>
      </c>
      <c r="AE1" s="4" t="s">
        <v>6</v>
      </c>
      <c r="AF1" s="4" t="s">
        <v>58</v>
      </c>
      <c r="AG1" s="4" t="s">
        <v>59</v>
      </c>
      <c r="AH1" s="4" t="s">
        <v>60</v>
      </c>
      <c r="AI1" s="4" t="s">
        <v>61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</row>
    <row r="2" spans="1:47" x14ac:dyDescent="0.35">
      <c r="A2" t="s">
        <v>99</v>
      </c>
      <c r="B2">
        <v>4394</v>
      </c>
      <c r="C2">
        <v>21</v>
      </c>
      <c r="D2">
        <v>1691</v>
      </c>
      <c r="E2">
        <v>2583</v>
      </c>
      <c r="F2">
        <v>0</v>
      </c>
      <c r="G2">
        <v>99</v>
      </c>
      <c r="H2">
        <v>120</v>
      </c>
      <c r="I2">
        <v>3431</v>
      </c>
      <c r="J2">
        <v>864</v>
      </c>
      <c r="K2">
        <v>7</v>
      </c>
      <c r="L2">
        <v>73</v>
      </c>
      <c r="M2">
        <v>94</v>
      </c>
      <c r="N2">
        <v>607</v>
      </c>
      <c r="O2">
        <v>3465</v>
      </c>
      <c r="P2">
        <v>135</v>
      </c>
      <c r="Q2">
        <v>166</v>
      </c>
      <c r="R2">
        <v>187</v>
      </c>
      <c r="S2">
        <v>64</v>
      </c>
      <c r="T2">
        <v>87</v>
      </c>
      <c r="U2">
        <v>1891</v>
      </c>
      <c r="V2">
        <v>14</v>
      </c>
      <c r="W2">
        <v>2045</v>
      </c>
      <c r="X2">
        <v>256</v>
      </c>
      <c r="Y2">
        <v>100</v>
      </c>
      <c r="Z2">
        <v>240</v>
      </c>
      <c r="AA2">
        <v>261</v>
      </c>
      <c r="AB2" s="2">
        <v>2.7309968138370506E-2</v>
      </c>
      <c r="AC2" s="2">
        <v>2.1392808375056895E-2</v>
      </c>
      <c r="AD2" s="2">
        <v>4.2558033682294036E-2</v>
      </c>
      <c r="AE2" s="2">
        <v>5.9399180700955852E-2</v>
      </c>
      <c r="AF2" s="2">
        <v>0</v>
      </c>
      <c r="AG2" s="2">
        <v>1.5930814747382794E-3</v>
      </c>
      <c r="AH2" s="2">
        <v>3.0723714155666819E-2</v>
      </c>
      <c r="AI2" s="2">
        <v>2.2758306781975421E-2</v>
      </c>
      <c r="AJ2" s="2">
        <v>0.39564810481984092</v>
      </c>
      <c r="AK2" s="2">
        <v>0.60435189518015908</v>
      </c>
      <c r="AL2" s="2">
        <v>0.79883585564610016</v>
      </c>
      <c r="AM2" s="2">
        <v>0.20116414435389987</v>
      </c>
      <c r="AN2" s="2">
        <v>0.14906679764243616</v>
      </c>
      <c r="AO2" s="2">
        <v>0.85093320235756387</v>
      </c>
      <c r="AP2" s="2">
        <v>1.468900619692449E-2</v>
      </c>
      <c r="AQ2" s="2">
        <v>1.9967867798944227E-2</v>
      </c>
      <c r="AR2" s="2">
        <v>0.43401422997475325</v>
      </c>
      <c r="AS2" s="2">
        <v>3.213220105577232E-3</v>
      </c>
      <c r="AT2" s="2">
        <v>0.46935965113610284</v>
      </c>
      <c r="AU2" s="2">
        <v>5.8756024787697959E-2</v>
      </c>
    </row>
    <row r="3" spans="1:47" x14ac:dyDescent="0.35">
      <c r="A3" t="s">
        <v>98</v>
      </c>
      <c r="B3">
        <v>493</v>
      </c>
      <c r="C3">
        <v>0</v>
      </c>
      <c r="D3">
        <v>288</v>
      </c>
      <c r="E3">
        <v>205</v>
      </c>
      <c r="F3">
        <v>0</v>
      </c>
      <c r="G3">
        <v>0</v>
      </c>
      <c r="H3">
        <v>0</v>
      </c>
      <c r="I3">
        <v>493</v>
      </c>
      <c r="J3">
        <v>0</v>
      </c>
      <c r="K3">
        <v>0</v>
      </c>
      <c r="L3">
        <v>0</v>
      </c>
      <c r="M3">
        <v>0</v>
      </c>
      <c r="N3">
        <v>22</v>
      </c>
      <c r="O3">
        <v>471</v>
      </c>
      <c r="P3">
        <v>0</v>
      </c>
      <c r="Q3">
        <v>0</v>
      </c>
      <c r="R3">
        <v>0</v>
      </c>
      <c r="S3">
        <v>24</v>
      </c>
      <c r="T3">
        <v>23</v>
      </c>
      <c r="U3">
        <v>23</v>
      </c>
      <c r="V3">
        <v>2</v>
      </c>
      <c r="W3">
        <v>420</v>
      </c>
      <c r="X3">
        <v>0</v>
      </c>
      <c r="Y3">
        <v>1</v>
      </c>
      <c r="Z3">
        <v>0</v>
      </c>
      <c r="AA3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2.0283975659229209E-3</v>
      </c>
      <c r="AJ3" s="2">
        <v>0.58417849898580121</v>
      </c>
      <c r="AK3" s="2">
        <v>0.41582150101419879</v>
      </c>
      <c r="AL3" s="2">
        <v>1</v>
      </c>
      <c r="AM3" s="2">
        <v>0</v>
      </c>
      <c r="AN3" s="2">
        <v>4.4624746450304259E-2</v>
      </c>
      <c r="AO3" s="2">
        <v>0.95537525354969577</v>
      </c>
      <c r="AP3" s="2">
        <v>4.878048780487805E-2</v>
      </c>
      <c r="AQ3" s="2">
        <v>4.6747967479674794E-2</v>
      </c>
      <c r="AR3" s="2">
        <v>4.6747967479674794E-2</v>
      </c>
      <c r="AS3" s="2">
        <v>4.0650406504065045E-3</v>
      </c>
      <c r="AT3" s="2">
        <v>0.85365853658536583</v>
      </c>
      <c r="AU3" s="2">
        <v>0</v>
      </c>
    </row>
    <row r="4" spans="1:47" x14ac:dyDescent="0.35">
      <c r="A4" t="s">
        <v>100</v>
      </c>
      <c r="B4">
        <v>105</v>
      </c>
      <c r="C4">
        <v>0</v>
      </c>
      <c r="D4">
        <v>21</v>
      </c>
      <c r="E4">
        <v>84</v>
      </c>
      <c r="F4">
        <v>0</v>
      </c>
      <c r="G4">
        <v>0</v>
      </c>
      <c r="H4">
        <v>0</v>
      </c>
      <c r="I4">
        <v>29</v>
      </c>
      <c r="J4">
        <v>76</v>
      </c>
      <c r="K4">
        <v>0</v>
      </c>
      <c r="L4">
        <v>0</v>
      </c>
      <c r="M4">
        <v>0</v>
      </c>
      <c r="N4">
        <v>37</v>
      </c>
      <c r="O4">
        <v>59</v>
      </c>
      <c r="P4">
        <v>3</v>
      </c>
      <c r="Q4">
        <v>6</v>
      </c>
      <c r="R4">
        <v>6</v>
      </c>
      <c r="S4">
        <v>1</v>
      </c>
      <c r="T4">
        <v>3</v>
      </c>
      <c r="U4">
        <v>32</v>
      </c>
      <c r="V4">
        <v>0</v>
      </c>
      <c r="W4">
        <v>60</v>
      </c>
      <c r="X4">
        <v>8</v>
      </c>
      <c r="Y4">
        <v>7</v>
      </c>
      <c r="Z4">
        <v>2</v>
      </c>
      <c r="AA4">
        <v>2</v>
      </c>
      <c r="AB4" s="2">
        <v>0</v>
      </c>
      <c r="AC4" s="2">
        <v>0</v>
      </c>
      <c r="AD4" s="2">
        <v>5.7142857142857141E-2</v>
      </c>
      <c r="AE4" s="2">
        <v>1.9047619047619049E-2</v>
      </c>
      <c r="AF4" s="2">
        <v>0</v>
      </c>
      <c r="AG4" s="2">
        <v>0</v>
      </c>
      <c r="AH4" s="2">
        <v>2.8571428571428571E-2</v>
      </c>
      <c r="AI4" s="2">
        <v>6.6666666666666666E-2</v>
      </c>
      <c r="AJ4" s="2">
        <v>0.2</v>
      </c>
      <c r="AK4" s="2">
        <v>0.8</v>
      </c>
      <c r="AL4" s="2">
        <v>0.27619047619047621</v>
      </c>
      <c r="AM4" s="2">
        <v>0.72380952380952379</v>
      </c>
      <c r="AN4" s="2">
        <v>0.38541666666666669</v>
      </c>
      <c r="AO4" s="2">
        <v>0.61458333333333337</v>
      </c>
      <c r="AP4" s="2">
        <v>9.6153846153846159E-3</v>
      </c>
      <c r="AQ4" s="2">
        <v>2.8846153846153848E-2</v>
      </c>
      <c r="AR4" s="2">
        <v>0.30769230769230771</v>
      </c>
      <c r="AS4" s="2">
        <v>0</v>
      </c>
      <c r="AT4" s="2">
        <v>0.57692307692307687</v>
      </c>
      <c r="AU4" s="2">
        <v>7.6923076923076927E-2</v>
      </c>
    </row>
    <row r="5" spans="1:47" x14ac:dyDescent="0.35">
      <c r="A5" t="s">
        <v>92</v>
      </c>
      <c r="B5">
        <v>21340</v>
      </c>
      <c r="C5">
        <v>0</v>
      </c>
      <c r="D5">
        <v>8905</v>
      </c>
      <c r="E5">
        <v>11030</v>
      </c>
      <c r="F5">
        <v>0</v>
      </c>
      <c r="G5">
        <v>1405</v>
      </c>
      <c r="H5">
        <v>1405</v>
      </c>
      <c r="I5">
        <v>15948</v>
      </c>
      <c r="J5">
        <v>5392</v>
      </c>
      <c r="K5">
        <v>2</v>
      </c>
      <c r="L5">
        <v>0</v>
      </c>
      <c r="M5">
        <v>0</v>
      </c>
      <c r="N5">
        <v>2027</v>
      </c>
      <c r="O5">
        <v>16281</v>
      </c>
      <c r="P5">
        <v>952</v>
      </c>
      <c r="Q5">
        <v>2080</v>
      </c>
      <c r="R5">
        <v>2080</v>
      </c>
      <c r="S5">
        <v>326</v>
      </c>
      <c r="T5">
        <v>285</v>
      </c>
      <c r="U5">
        <v>4766</v>
      </c>
      <c r="V5">
        <v>54</v>
      </c>
      <c r="W5">
        <v>13003</v>
      </c>
      <c r="X5">
        <v>277</v>
      </c>
      <c r="Y5">
        <v>658</v>
      </c>
      <c r="Z5">
        <v>2532</v>
      </c>
      <c r="AA5">
        <v>2532</v>
      </c>
      <c r="AB5" s="2">
        <v>6.583880037488285E-2</v>
      </c>
      <c r="AC5" s="2">
        <v>0</v>
      </c>
      <c r="AD5" s="2">
        <v>9.7469540768509846E-2</v>
      </c>
      <c r="AE5" s="2">
        <v>0.11865042174320525</v>
      </c>
      <c r="AF5" s="2">
        <v>0</v>
      </c>
      <c r="AG5" s="2">
        <v>9.372071227741331E-5</v>
      </c>
      <c r="AH5" s="2">
        <v>4.4611059044048731E-2</v>
      </c>
      <c r="AI5" s="2">
        <v>3.0834114339268977E-2</v>
      </c>
      <c r="AJ5" s="2">
        <v>0.44670178078755957</v>
      </c>
      <c r="AK5" s="2">
        <v>0.55329821921244038</v>
      </c>
      <c r="AL5" s="2">
        <v>0.74732895970009372</v>
      </c>
      <c r="AM5" s="2">
        <v>0.25267104029990628</v>
      </c>
      <c r="AN5" s="2">
        <v>0.11071662661131745</v>
      </c>
      <c r="AO5" s="2">
        <v>0.88928337338868257</v>
      </c>
      <c r="AP5" s="2">
        <v>1.7422906311795199E-2</v>
      </c>
      <c r="AQ5" s="2">
        <v>1.5231681898348564E-2</v>
      </c>
      <c r="AR5" s="2">
        <v>0.25471647693869914</v>
      </c>
      <c r="AS5" s="2">
        <v>2.886002886002886E-3</v>
      </c>
      <c r="AT5" s="2">
        <v>0.6949388060499172</v>
      </c>
      <c r="AU5" s="2">
        <v>1.4804125915237026E-2</v>
      </c>
    </row>
  </sheetData>
  <sheetProtection algorithmName="SHA-512" hashValue="enAKDMyRDwsoEinWZSimvqHwshGOMj1qyDwyaRTwJPsZnTI180V1sQN/cdTiJJ/hPm5hM62xdE+BdBPZ3j/DHw==" saltValue="dbC6kGj28Vubf+JJTBvIhQ==" spinCount="100000" sheet="1" objects="1" scenarios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FDEA9-87EA-4D32-956E-E11DBF1E576C}">
  <dimension ref="A1:AU5"/>
  <sheetViews>
    <sheetView zoomScale="70" zoomScaleNormal="70" workbookViewId="0">
      <selection activeCell="A2" sqref="A2:A5"/>
    </sheetView>
  </sheetViews>
  <sheetFormatPr defaultColWidth="8" defaultRowHeight="14.5" x14ac:dyDescent="0.35"/>
  <cols>
    <col min="1" max="1" width="45.90625" bestFit="1" customWidth="1"/>
    <col min="2" max="27" width="8" customWidth="1"/>
    <col min="28" max="47" width="8" style="2" customWidth="1"/>
  </cols>
  <sheetData>
    <row r="1" spans="1:47" s="3" customFormat="1" ht="101.5" x14ac:dyDescent="0.35">
      <c r="A1" s="3" t="s">
        <v>7</v>
      </c>
      <c r="B1" s="3" t="s">
        <v>2</v>
      </c>
      <c r="C1" s="3" t="s">
        <v>8</v>
      </c>
      <c r="D1" s="3" t="s">
        <v>9</v>
      </c>
      <c r="E1" s="3" t="s">
        <v>10</v>
      </c>
      <c r="F1" s="3" t="s">
        <v>11</v>
      </c>
      <c r="G1" s="3" t="s">
        <v>12</v>
      </c>
      <c r="H1" s="3" t="s">
        <v>13</v>
      </c>
      <c r="I1" s="3" t="s">
        <v>14</v>
      </c>
      <c r="J1" s="3" t="s">
        <v>15</v>
      </c>
      <c r="K1" s="3" t="s">
        <v>16</v>
      </c>
      <c r="L1" s="3" t="s">
        <v>17</v>
      </c>
      <c r="M1" s="3" t="s">
        <v>18</v>
      </c>
      <c r="N1" s="3" t="s">
        <v>19</v>
      </c>
      <c r="O1" s="3" t="s">
        <v>20</v>
      </c>
      <c r="P1" s="3" t="s">
        <v>21</v>
      </c>
      <c r="Q1" s="3" t="s">
        <v>22</v>
      </c>
      <c r="R1" s="3" t="s">
        <v>23</v>
      </c>
      <c r="S1" s="3" t="s">
        <v>24</v>
      </c>
      <c r="T1" s="3" t="s">
        <v>25</v>
      </c>
      <c r="U1" s="3" t="s">
        <v>26</v>
      </c>
      <c r="V1" s="3" t="s">
        <v>27</v>
      </c>
      <c r="W1" s="3" t="s">
        <v>28</v>
      </c>
      <c r="X1" s="3" t="s">
        <v>29</v>
      </c>
      <c r="Y1" s="3" t="s">
        <v>30</v>
      </c>
      <c r="Z1" s="3" t="s">
        <v>31</v>
      </c>
      <c r="AA1" s="3" t="s">
        <v>32</v>
      </c>
      <c r="AB1" s="4" t="s">
        <v>3</v>
      </c>
      <c r="AC1" s="4" t="s">
        <v>4</v>
      </c>
      <c r="AD1" s="4" t="s">
        <v>5</v>
      </c>
      <c r="AE1" s="4" t="s">
        <v>6</v>
      </c>
      <c r="AF1" s="4" t="s">
        <v>58</v>
      </c>
      <c r="AG1" s="4" t="s">
        <v>59</v>
      </c>
      <c r="AH1" s="4" t="s">
        <v>60</v>
      </c>
      <c r="AI1" s="4" t="s">
        <v>61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</row>
    <row r="2" spans="1:47" x14ac:dyDescent="0.35">
      <c r="A2" t="s">
        <v>99</v>
      </c>
      <c r="B2">
        <v>8766</v>
      </c>
      <c r="C2">
        <v>0</v>
      </c>
      <c r="D2">
        <v>4222</v>
      </c>
      <c r="E2">
        <v>4530</v>
      </c>
      <c r="F2">
        <v>10</v>
      </c>
      <c r="G2">
        <v>4</v>
      </c>
      <c r="H2">
        <v>4</v>
      </c>
      <c r="I2">
        <v>7944</v>
      </c>
      <c r="J2">
        <v>810</v>
      </c>
      <c r="K2">
        <v>9</v>
      </c>
      <c r="L2">
        <v>3</v>
      </c>
      <c r="M2">
        <v>3</v>
      </c>
      <c r="N2">
        <v>1009</v>
      </c>
      <c r="O2">
        <v>7677</v>
      </c>
      <c r="P2">
        <v>79</v>
      </c>
      <c r="Q2">
        <v>1</v>
      </c>
      <c r="R2">
        <v>1</v>
      </c>
      <c r="S2">
        <v>110</v>
      </c>
      <c r="T2">
        <v>129</v>
      </c>
      <c r="U2">
        <v>3455</v>
      </c>
      <c r="V2">
        <v>17</v>
      </c>
      <c r="W2">
        <v>4977</v>
      </c>
      <c r="X2">
        <v>670</v>
      </c>
      <c r="Y2">
        <v>96</v>
      </c>
      <c r="Z2">
        <v>182</v>
      </c>
      <c r="AA2">
        <v>182</v>
      </c>
      <c r="AB2" s="2">
        <v>4.5630846452201688E-4</v>
      </c>
      <c r="AC2" s="2">
        <v>3.4223134839151266E-4</v>
      </c>
      <c r="AD2" s="2">
        <v>1.1407711613050422E-4</v>
      </c>
      <c r="AE2" s="2">
        <v>2.0762035135751769E-2</v>
      </c>
      <c r="AF2" s="2">
        <v>1.1407711613050423E-3</v>
      </c>
      <c r="AG2" s="2">
        <v>1.026694045174538E-3</v>
      </c>
      <c r="AH2" s="2">
        <v>9.0120921743098333E-3</v>
      </c>
      <c r="AI2" s="2">
        <v>1.0951403148528405E-2</v>
      </c>
      <c r="AJ2" s="2">
        <v>0.48240402193784276</v>
      </c>
      <c r="AK2" s="2">
        <v>0.51759597806215718</v>
      </c>
      <c r="AL2" s="2">
        <v>0.90747087045921859</v>
      </c>
      <c r="AM2" s="2">
        <v>9.2529129540781352E-2</v>
      </c>
      <c r="AN2" s="2">
        <v>0.1161639419755929</v>
      </c>
      <c r="AO2" s="2">
        <v>0.88383605802440712</v>
      </c>
      <c r="AP2" s="2">
        <v>1.1754648429151528E-2</v>
      </c>
      <c r="AQ2" s="2">
        <v>1.3784996794186792E-2</v>
      </c>
      <c r="AR2" s="2">
        <v>0.36920282111562297</v>
      </c>
      <c r="AS2" s="2">
        <v>1.8166274845052362E-3</v>
      </c>
      <c r="AT2" s="2">
        <v>0.53184441119897419</v>
      </c>
      <c r="AU2" s="2">
        <v>7.1596494977559308E-2</v>
      </c>
    </row>
    <row r="3" spans="1:47" x14ac:dyDescent="0.35">
      <c r="A3" t="s">
        <v>97</v>
      </c>
      <c r="B3">
        <v>823</v>
      </c>
      <c r="C3">
        <v>0</v>
      </c>
      <c r="D3">
        <v>147</v>
      </c>
      <c r="E3">
        <v>676</v>
      </c>
      <c r="F3">
        <v>0</v>
      </c>
      <c r="G3">
        <v>0</v>
      </c>
      <c r="H3">
        <v>0</v>
      </c>
      <c r="I3">
        <v>163</v>
      </c>
      <c r="J3">
        <v>647</v>
      </c>
      <c r="K3">
        <v>13</v>
      </c>
      <c r="L3">
        <v>0</v>
      </c>
      <c r="M3">
        <v>0</v>
      </c>
      <c r="N3">
        <v>39</v>
      </c>
      <c r="O3">
        <v>728</v>
      </c>
      <c r="P3">
        <v>24</v>
      </c>
      <c r="Q3">
        <v>32</v>
      </c>
      <c r="R3">
        <v>32</v>
      </c>
      <c r="S3">
        <v>0</v>
      </c>
      <c r="T3">
        <v>20</v>
      </c>
      <c r="U3">
        <v>135</v>
      </c>
      <c r="V3">
        <v>0</v>
      </c>
      <c r="W3">
        <v>604</v>
      </c>
      <c r="X3">
        <v>0</v>
      </c>
      <c r="Y3">
        <v>0</v>
      </c>
      <c r="Z3">
        <v>64</v>
      </c>
      <c r="AA3">
        <v>64</v>
      </c>
      <c r="AB3" s="2">
        <v>0</v>
      </c>
      <c r="AC3" s="2">
        <v>0</v>
      </c>
      <c r="AD3" s="2">
        <v>3.8882138517618466E-2</v>
      </c>
      <c r="AE3" s="2">
        <v>7.7764277035236931E-2</v>
      </c>
      <c r="AF3" s="2">
        <v>0</v>
      </c>
      <c r="AG3" s="2">
        <v>1.5795868772782502E-2</v>
      </c>
      <c r="AH3" s="2">
        <v>2.9161603888213851E-2</v>
      </c>
      <c r="AI3" s="2">
        <v>0</v>
      </c>
      <c r="AJ3" s="2">
        <v>0.17861482381530985</v>
      </c>
      <c r="AK3" s="2">
        <v>0.8213851761846902</v>
      </c>
      <c r="AL3" s="2">
        <v>0.20123456790123456</v>
      </c>
      <c r="AM3" s="2">
        <v>0.79876543209876538</v>
      </c>
      <c r="AN3" s="2">
        <v>5.0847457627118647E-2</v>
      </c>
      <c r="AO3" s="2">
        <v>0.94915254237288138</v>
      </c>
      <c r="AP3" s="2">
        <v>0</v>
      </c>
      <c r="AQ3" s="2">
        <v>2.6350461133069828E-2</v>
      </c>
      <c r="AR3" s="2">
        <v>0.17786561264822134</v>
      </c>
      <c r="AS3" s="2">
        <v>0</v>
      </c>
      <c r="AT3" s="2">
        <v>0.79578392621870886</v>
      </c>
      <c r="AU3" s="2">
        <v>0</v>
      </c>
    </row>
    <row r="4" spans="1:47" x14ac:dyDescent="0.35">
      <c r="A4" t="s">
        <v>100</v>
      </c>
      <c r="B4">
        <v>9</v>
      </c>
      <c r="C4">
        <v>0</v>
      </c>
      <c r="D4">
        <v>0</v>
      </c>
      <c r="E4">
        <v>9</v>
      </c>
      <c r="F4">
        <v>0</v>
      </c>
      <c r="G4">
        <v>0</v>
      </c>
      <c r="H4">
        <v>0</v>
      </c>
      <c r="I4">
        <v>0</v>
      </c>
      <c r="J4">
        <v>9</v>
      </c>
      <c r="K4">
        <v>0</v>
      </c>
      <c r="L4">
        <v>0</v>
      </c>
      <c r="M4">
        <v>0</v>
      </c>
      <c r="N4">
        <v>0</v>
      </c>
      <c r="O4">
        <v>9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9</v>
      </c>
      <c r="X4">
        <v>0</v>
      </c>
      <c r="Y4">
        <v>0</v>
      </c>
      <c r="Z4">
        <v>0</v>
      </c>
      <c r="AA4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1</v>
      </c>
      <c r="AL4" s="2">
        <v>0</v>
      </c>
      <c r="AM4" s="2">
        <v>1</v>
      </c>
      <c r="AN4" s="2">
        <v>0</v>
      </c>
      <c r="AO4" s="2">
        <v>1</v>
      </c>
      <c r="AP4" s="2">
        <v>0</v>
      </c>
      <c r="AQ4" s="2">
        <v>0</v>
      </c>
      <c r="AR4" s="2">
        <v>0</v>
      </c>
      <c r="AS4" s="2">
        <v>0</v>
      </c>
      <c r="AT4" s="2">
        <v>1</v>
      </c>
      <c r="AU4" s="2">
        <v>0</v>
      </c>
    </row>
    <row r="5" spans="1:47" x14ac:dyDescent="0.35">
      <c r="A5" t="s">
        <v>92</v>
      </c>
      <c r="B5">
        <v>43312</v>
      </c>
      <c r="C5">
        <v>0</v>
      </c>
      <c r="D5">
        <v>18841</v>
      </c>
      <c r="E5">
        <v>22905</v>
      </c>
      <c r="F5">
        <v>0</v>
      </c>
      <c r="G5">
        <v>1566</v>
      </c>
      <c r="H5">
        <v>1566</v>
      </c>
      <c r="I5">
        <v>31724</v>
      </c>
      <c r="J5">
        <v>11588</v>
      </c>
      <c r="K5">
        <v>0</v>
      </c>
      <c r="L5">
        <v>0</v>
      </c>
      <c r="M5">
        <v>0</v>
      </c>
      <c r="N5">
        <v>3322</v>
      </c>
      <c r="O5">
        <v>34755</v>
      </c>
      <c r="P5">
        <v>1843</v>
      </c>
      <c r="Q5">
        <v>3392</v>
      </c>
      <c r="R5">
        <v>3392</v>
      </c>
      <c r="S5">
        <v>752</v>
      </c>
      <c r="T5">
        <v>411</v>
      </c>
      <c r="U5">
        <v>8685</v>
      </c>
      <c r="V5">
        <v>85</v>
      </c>
      <c r="W5">
        <v>27879</v>
      </c>
      <c r="X5">
        <v>247</v>
      </c>
      <c r="Y5">
        <v>1253</v>
      </c>
      <c r="Z5">
        <v>4589</v>
      </c>
      <c r="AA5">
        <v>4589</v>
      </c>
      <c r="AB5" s="2">
        <v>3.6156261544144808E-2</v>
      </c>
      <c r="AC5" s="2">
        <v>0</v>
      </c>
      <c r="AD5" s="2">
        <v>7.8315478389360912E-2</v>
      </c>
      <c r="AE5" s="2">
        <v>0.10595216106390838</v>
      </c>
      <c r="AF5" s="2">
        <v>0</v>
      </c>
      <c r="AG5" s="2">
        <v>0</v>
      </c>
      <c r="AH5" s="2">
        <v>4.2551717768747693E-2</v>
      </c>
      <c r="AI5" s="2">
        <v>2.8929626893239749E-2</v>
      </c>
      <c r="AJ5" s="2">
        <v>0.45132467781344321</v>
      </c>
      <c r="AK5" s="2">
        <v>0.54867532218655679</v>
      </c>
      <c r="AL5" s="2">
        <v>0.73245289988917617</v>
      </c>
      <c r="AM5" s="2">
        <v>0.26754710011082378</v>
      </c>
      <c r="AN5" s="2">
        <v>8.7244268193397589E-2</v>
      </c>
      <c r="AO5" s="2">
        <v>0.91275573180660241</v>
      </c>
      <c r="AP5" s="2">
        <v>1.9758795554271E-2</v>
      </c>
      <c r="AQ5" s="2">
        <v>1.0799022570219922E-2</v>
      </c>
      <c r="AR5" s="2">
        <v>0.22819832365537718</v>
      </c>
      <c r="AS5" s="2">
        <v>2.2333744974907381E-3</v>
      </c>
      <c r="AT5" s="2">
        <v>0.73252056018287393</v>
      </c>
      <c r="AU5" s="2">
        <v>6.4899235397672039E-3</v>
      </c>
    </row>
  </sheetData>
  <sheetProtection algorithmName="SHA-512" hashValue="jpnEYFqK7rHcYEr+vvQqs+86yhVUb8UGgiM87FaGtA78SXdJTBph0T/XCmx9DsqSO+OGygKvqXm9ONjRuU/KoA==" saltValue="cec7qLvWTfyARLOPrrLUnQ==" spinCount="100000" sheet="1" objects="1" scenarios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5783E-4638-4225-A03C-01484A6C6406}">
  <dimension ref="A1:A5"/>
  <sheetViews>
    <sheetView workbookViewId="0">
      <selection activeCell="A6" sqref="A6:A29"/>
    </sheetView>
  </sheetViews>
  <sheetFormatPr defaultRowHeight="14.5" x14ac:dyDescent="0.35"/>
  <cols>
    <col min="1" max="1" width="13.26953125" customWidth="1"/>
  </cols>
  <sheetData>
    <row r="1" spans="1:1" x14ac:dyDescent="0.35">
      <c r="A1" t="s">
        <v>1</v>
      </c>
    </row>
    <row r="2" spans="1:1" x14ac:dyDescent="0.35">
      <c r="A2" t="s">
        <v>99</v>
      </c>
    </row>
    <row r="3" spans="1:1" x14ac:dyDescent="0.35">
      <c r="A3" t="s">
        <v>97</v>
      </c>
    </row>
    <row r="4" spans="1:1" x14ac:dyDescent="0.35">
      <c r="A4" t="s">
        <v>100</v>
      </c>
    </row>
    <row r="5" spans="1:1" x14ac:dyDescent="0.35">
      <c r="A5" t="s">
        <v>92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Work Team Report</vt:lpstr>
      <vt:lpstr>NPA 2019</vt:lpstr>
      <vt:lpstr>NPA 2020</vt:lpstr>
      <vt:lpstr>NPA 2021</vt:lpstr>
      <vt:lpstr>NPA 2022</vt:lpstr>
      <vt:lpstr>Work Teams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Lundeen</dc:creator>
  <cp:lastModifiedBy>Norma Lundeen</cp:lastModifiedBy>
  <dcterms:created xsi:type="dcterms:W3CDTF">2015-06-05T18:17:20Z</dcterms:created>
  <dcterms:modified xsi:type="dcterms:W3CDTF">2022-09-13T20:19:37Z</dcterms:modified>
</cp:coreProperties>
</file>